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Мои документы\Герасимова 2025\Отчеты\ФАС\2кв\ТВС\Московская\"/>
    </mc:Choice>
  </mc:AlternateContent>
  <xr:revisionPtr revIDLastSave="0" documentId="13_ncr:1_{327FFD1B-FF72-43D3-B74C-611CF53CAAD7}"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123" i="33" s="1"/>
  <c r="J96" i="63"/>
  <c r="I96" i="63"/>
  <c r="N95" i="63"/>
  <c r="M95" i="63"/>
  <c r="K95" i="63"/>
  <c r="J95" i="63"/>
  <c r="I95" i="63"/>
  <c r="L95" i="63" s="1"/>
  <c r="M94" i="63"/>
  <c r="L94" i="63"/>
  <c r="K94" i="63"/>
  <c r="N94" i="63" s="1"/>
  <c r="J94" i="63"/>
  <c r="I94" i="63"/>
  <c r="N93" i="63"/>
  <c r="K93" i="63"/>
  <c r="J93" i="63"/>
  <c r="M93" i="63" s="1"/>
  <c r="F116" i="33" s="1"/>
  <c r="I93" i="63"/>
  <c r="L93" i="63" s="1"/>
  <c r="M92" i="63"/>
  <c r="L92" i="63"/>
  <c r="K92" i="63"/>
  <c r="N92" i="63" s="1"/>
  <c r="J92" i="63"/>
  <c r="I92" i="63"/>
  <c r="N91" i="63"/>
  <c r="M91" i="63"/>
  <c r="K91" i="63"/>
  <c r="J91" i="63"/>
  <c r="I91" i="63"/>
  <c r="L91" i="63" s="1"/>
  <c r="M90" i="63"/>
  <c r="L90" i="63"/>
  <c r="K90" i="63"/>
  <c r="N90" i="63" s="1"/>
  <c r="J90" i="63"/>
  <c r="I90" i="63"/>
  <c r="N89" i="63"/>
  <c r="J112" i="33" s="1"/>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J108" i="33" s="1"/>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F104" i="33" s="1"/>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97" i="33" s="1"/>
  <c r="J76" i="63"/>
  <c r="I76" i="63"/>
  <c r="N75" i="63"/>
  <c r="M75" i="63"/>
  <c r="F96" i="33" s="1"/>
  <c r="K75" i="63"/>
  <c r="J75" i="63"/>
  <c r="I75" i="63"/>
  <c r="L75" i="63" s="1"/>
  <c r="M74" i="63"/>
  <c r="L74" i="63"/>
  <c r="E95" i="33" s="1"/>
  <c r="K74" i="63"/>
  <c r="N74" i="63" s="1"/>
  <c r="J74" i="63"/>
  <c r="I74" i="63"/>
  <c r="N73" i="63"/>
  <c r="J94" i="33" s="1"/>
  <c r="K73" i="63"/>
  <c r="J73" i="63"/>
  <c r="M73" i="63" s="1"/>
  <c r="I73" i="63"/>
  <c r="L73" i="63" s="1"/>
  <c r="M72" i="63"/>
  <c r="L72" i="63"/>
  <c r="K72" i="63"/>
  <c r="N72" i="63" s="1"/>
  <c r="J72" i="63"/>
  <c r="I72" i="63"/>
  <c r="N71" i="63"/>
  <c r="M71" i="63"/>
  <c r="K71" i="63"/>
  <c r="J71" i="63"/>
  <c r="I71" i="63"/>
  <c r="L71" i="63" s="1"/>
  <c r="M70" i="63"/>
  <c r="L70" i="63"/>
  <c r="E91" i="33" s="1"/>
  <c r="K70" i="63"/>
  <c r="N70" i="63" s="1"/>
  <c r="J70" i="63"/>
  <c r="I70" i="63"/>
  <c r="N69" i="63"/>
  <c r="J90" i="33" s="1"/>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F86" i="3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F82" i="33" s="1"/>
  <c r="I61" i="63"/>
  <c r="L61" i="63" s="1"/>
  <c r="E82" i="33" s="1"/>
  <c r="M60" i="63"/>
  <c r="L60" i="63"/>
  <c r="K60" i="63"/>
  <c r="N60" i="63" s="1"/>
  <c r="J60" i="63"/>
  <c r="I60" i="63"/>
  <c r="N59" i="63"/>
  <c r="M59" i="63"/>
  <c r="K59" i="63"/>
  <c r="J59" i="63"/>
  <c r="I59" i="63"/>
  <c r="L59" i="63" s="1"/>
  <c r="T58" i="63"/>
  <c r="N58" i="63"/>
  <c r="M58" i="63"/>
  <c r="K58" i="63"/>
  <c r="J58" i="63"/>
  <c r="I58" i="63"/>
  <c r="L58" i="63" s="1"/>
  <c r="T57" i="63"/>
  <c r="J57" i="63" s="1"/>
  <c r="M57" i="63" s="1"/>
  <c r="L57" i="63"/>
  <c r="K57" i="63"/>
  <c r="N57" i="63" s="1"/>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E68" i="33" s="1"/>
  <c r="K68" i="33" s="1"/>
  <c r="M48" i="63"/>
  <c r="L48" i="63"/>
  <c r="K48" i="63"/>
  <c r="N48" i="63" s="1"/>
  <c r="J48" i="63"/>
  <c r="I48" i="63"/>
  <c r="N47" i="63"/>
  <c r="K47" i="63"/>
  <c r="J47" i="63"/>
  <c r="M47" i="63" s="1"/>
  <c r="F66" i="33" s="1"/>
  <c r="I47" i="63"/>
  <c r="L47" i="63" s="1"/>
  <c r="T46" i="63"/>
  <c r="N46" i="63"/>
  <c r="M46" i="63"/>
  <c r="F65" i="33" s="1"/>
  <c r="K46" i="63"/>
  <c r="J46" i="63"/>
  <c r="I46" i="63"/>
  <c r="L46" i="63" s="1"/>
  <c r="E65" i="33" s="1"/>
  <c r="L45" i="63"/>
  <c r="K45" i="63"/>
  <c r="N45" i="63" s="1"/>
  <c r="J45" i="63"/>
  <c r="M45" i="63" s="1"/>
  <c r="I45" i="63"/>
  <c r="N44" i="63"/>
  <c r="M44" i="63"/>
  <c r="K44" i="63"/>
  <c r="J44" i="63"/>
  <c r="I44" i="63"/>
  <c r="L44" i="63" s="1"/>
  <c r="E63" i="33" s="1"/>
  <c r="N43" i="63"/>
  <c r="L43" i="63"/>
  <c r="K43" i="63"/>
  <c r="J43" i="63"/>
  <c r="M43" i="63" s="1"/>
  <c r="I43" i="63"/>
  <c r="N42" i="63"/>
  <c r="M42" i="63"/>
  <c r="L42" i="63"/>
  <c r="K42" i="63"/>
  <c r="J42" i="63"/>
  <c r="I42" i="63"/>
  <c r="N41" i="63"/>
  <c r="L41" i="63"/>
  <c r="K41" i="63"/>
  <c r="J41" i="63"/>
  <c r="M41" i="63" s="1"/>
  <c r="I41" i="63"/>
  <c r="N40" i="63"/>
  <c r="M40" i="63"/>
  <c r="K40" i="63"/>
  <c r="J40" i="63"/>
  <c r="I40" i="63"/>
  <c r="L40" i="63" s="1"/>
  <c r="L39" i="63"/>
  <c r="K39" i="63"/>
  <c r="N39" i="63" s="1"/>
  <c r="J39" i="63"/>
  <c r="M39" i="63" s="1"/>
  <c r="I39" i="63"/>
  <c r="N38" i="63"/>
  <c r="M38" i="63"/>
  <c r="F57" i="33" s="1"/>
  <c r="K38" i="63"/>
  <c r="J38" i="63"/>
  <c r="I38" i="63"/>
  <c r="L38" i="63" s="1"/>
  <c r="E57" i="33" s="1"/>
  <c r="K57" i="33" s="1"/>
  <c r="L37" i="63"/>
  <c r="K37" i="63"/>
  <c r="N37" i="63" s="1"/>
  <c r="J37" i="63"/>
  <c r="M37" i="63" s="1"/>
  <c r="I37" i="63"/>
  <c r="N36" i="63"/>
  <c r="M36" i="63"/>
  <c r="K36" i="63"/>
  <c r="J36" i="63"/>
  <c r="I36" i="63"/>
  <c r="L36" i="63" s="1"/>
  <c r="E55" i="33" s="1"/>
  <c r="T35" i="63"/>
  <c r="J35" i="63" s="1"/>
  <c r="M35" i="63" s="1"/>
  <c r="L35" i="63"/>
  <c r="K35" i="63"/>
  <c r="N35" i="63" s="1"/>
  <c r="I35" i="63"/>
  <c r="N34" i="63"/>
  <c r="K34" i="63"/>
  <c r="J34" i="63"/>
  <c r="M34" i="63" s="1"/>
  <c r="F53" i="33" s="1"/>
  <c r="I34" i="63"/>
  <c r="L34" i="63" s="1"/>
  <c r="T33" i="63"/>
  <c r="N33" i="63"/>
  <c r="M33" i="63"/>
  <c r="F52" i="33" s="1"/>
  <c r="K33" i="63"/>
  <c r="J33" i="63"/>
  <c r="I33" i="63"/>
  <c r="L33" i="63" s="1"/>
  <c r="E52" i="33" s="1"/>
  <c r="K52" i="33" s="1"/>
  <c r="T32" i="63"/>
  <c r="J32" i="63" s="1"/>
  <c r="M32" i="63" s="1"/>
  <c r="L32" i="63"/>
  <c r="K32" i="63"/>
  <c r="N32" i="63" s="1"/>
  <c r="I32" i="63"/>
  <c r="N31" i="63"/>
  <c r="K31" i="63"/>
  <c r="J31" i="63"/>
  <c r="M31" i="63" s="1"/>
  <c r="F50" i="33" s="1"/>
  <c r="I31" i="63"/>
  <c r="L31" i="63" s="1"/>
  <c r="E50" i="33" s="1"/>
  <c r="M30" i="63"/>
  <c r="L30" i="63"/>
  <c r="K30" i="63"/>
  <c r="N30" i="63" s="1"/>
  <c r="J30" i="63"/>
  <c r="I30" i="63"/>
  <c r="T29" i="63"/>
  <c r="N29" i="63"/>
  <c r="L29" i="63"/>
  <c r="K29" i="63"/>
  <c r="J29" i="63"/>
  <c r="M29" i="63" s="1"/>
  <c r="I29" i="63"/>
  <c r="N28" i="63"/>
  <c r="M28" i="63"/>
  <c r="K28" i="63"/>
  <c r="J28" i="63"/>
  <c r="I28" i="63"/>
  <c r="L28" i="63" s="1"/>
  <c r="E47" i="33" s="1"/>
  <c r="K47" i="33" s="1"/>
  <c r="L27" i="63"/>
  <c r="K27" i="63"/>
  <c r="N27" i="63" s="1"/>
  <c r="J27" i="63"/>
  <c r="M27" i="63" s="1"/>
  <c r="I27" i="63"/>
  <c r="T26" i="63"/>
  <c r="N26" i="63"/>
  <c r="K26" i="63"/>
  <c r="J26" i="63"/>
  <c r="M26" i="63" s="1"/>
  <c r="F45" i="33" s="1"/>
  <c r="I26" i="63"/>
  <c r="L26" i="63" s="1"/>
  <c r="M25" i="63"/>
  <c r="K25" i="63"/>
  <c r="N25" i="63" s="1"/>
  <c r="J25" i="63"/>
  <c r="I25" i="63"/>
  <c r="L25" i="63" s="1"/>
  <c r="M24" i="63"/>
  <c r="K24" i="63"/>
  <c r="N24" i="63" s="1"/>
  <c r="J24" i="63"/>
  <c r="I24" i="63"/>
  <c r="L24" i="63" s="1"/>
  <c r="M23" i="63"/>
  <c r="L23" i="63"/>
  <c r="E42" i="33" s="1"/>
  <c r="K23" i="63"/>
  <c r="N23" i="63" s="1"/>
  <c r="J23" i="63"/>
  <c r="I23" i="63"/>
  <c r="N22" i="63"/>
  <c r="K22" i="63"/>
  <c r="J22" i="63"/>
  <c r="M22" i="63" s="1"/>
  <c r="I22" i="63"/>
  <c r="L22" i="63" s="1"/>
  <c r="M21" i="63"/>
  <c r="K21" i="63"/>
  <c r="N21" i="63" s="1"/>
  <c r="J33" i="33" s="1"/>
  <c r="J21" i="63"/>
  <c r="I21" i="63"/>
  <c r="L21" i="63" s="1"/>
  <c r="M20" i="63"/>
  <c r="K20" i="63"/>
  <c r="N20" i="63" s="1"/>
  <c r="J32" i="33" s="1"/>
  <c r="J20" i="63"/>
  <c r="I20" i="63"/>
  <c r="L20" i="63" s="1"/>
  <c r="M19" i="63"/>
  <c r="L19" i="63"/>
  <c r="E31" i="33" s="1"/>
  <c r="K19" i="63"/>
  <c r="N19" i="63" s="1"/>
  <c r="J19" i="63"/>
  <c r="I19" i="63"/>
  <c r="N18" i="63"/>
  <c r="J30" i="33" s="1"/>
  <c r="K18" i="63"/>
  <c r="J18" i="63"/>
  <c r="M18" i="63" s="1"/>
  <c r="I18" i="63"/>
  <c r="L18" i="63" s="1"/>
  <c r="N16" i="63"/>
  <c r="U15" i="63"/>
  <c r="N15" i="63"/>
  <c r="M15" i="63"/>
  <c r="N14" i="63"/>
  <c r="I18" i="45" s="1"/>
  <c r="M14" i="63"/>
  <c r="N13" i="63"/>
  <c r="M13" i="63"/>
  <c r="N12" i="63"/>
  <c r="I16" i="45" s="1"/>
  <c r="M12" i="63"/>
  <c r="N11" i="63"/>
  <c r="M11" i="63"/>
  <c r="N3" i="63"/>
  <c r="C34" i="62"/>
  <c r="E32" i="62"/>
  <c r="C32" i="62"/>
  <c r="C31" i="62"/>
  <c r="E30"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I29" i="61"/>
  <c r="I23" i="61"/>
  <c r="O19" i="61"/>
  <c r="M19" i="61" a="1"/>
  <c r="M19" i="61" s="1"/>
  <c r="F19" i="61"/>
  <c r="O14" i="61"/>
  <c r="M14" i="61" a="1"/>
  <c r="M14" i="61" s="1"/>
  <c r="F14" i="61"/>
  <c r="E14" i="61"/>
  <c r="G13" i="61"/>
  <c r="E13" i="61"/>
  <c r="F13" i="56"/>
  <c r="E7" i="56"/>
  <c r="F2" i="56"/>
  <c r="P10" i="55" a="1"/>
  <c r="P10" i="55" s="1"/>
  <c r="M10" i="55"/>
  <c r="L10" i="55"/>
  <c r="R10" i="55" s="1"/>
  <c r="K8" i="55"/>
  <c r="E5" i="55"/>
  <c r="R2" i="55"/>
  <c r="P2" i="55" a="1"/>
  <c r="P2" i="55" s="1"/>
  <c r="M2" i="55"/>
  <c r="P10" i="54" a="1"/>
  <c r="P10" i="54"/>
  <c r="M10" i="54"/>
  <c r="K8" i="54"/>
  <c r="J8" i="54"/>
  <c r="L10" i="54" s="1"/>
  <c r="R10" i="54" s="1"/>
  <c r="G8" i="54"/>
  <c r="F8" i="54"/>
  <c r="E5" i="54"/>
  <c r="R2" i="54"/>
  <c r="P2" i="54" a="1"/>
  <c r="P2" i="54" s="1"/>
  <c r="M2" i="54"/>
  <c r="N9" i="53" a="1"/>
  <c r="N9" i="53"/>
  <c r="J9" i="53"/>
  <c r="P9" i="53" s="1"/>
  <c r="E5" i="53"/>
  <c r="P2" i="53"/>
  <c r="N2" i="53" a="1"/>
  <c r="N2" i="53" s="1"/>
  <c r="G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E29" i="51" s="1"/>
  <c r="J46" i="51"/>
  <c r="I46" i="51"/>
  <c r="K45" i="51"/>
  <c r="E4" i="3" s="1"/>
  <c r="G44" i="51"/>
  <c r="G36" i="51"/>
  <c r="F36" i="51"/>
  <c r="AA15" i="63" s="1"/>
  <c r="F32" i="51"/>
  <c r="E32" i="51"/>
  <c r="F29" i="51"/>
  <c r="L5" i="51"/>
  <c r="L4" i="51"/>
  <c r="L3" i="51"/>
  <c r="I14" i="50"/>
  <c r="G14" i="50"/>
  <c r="I11" i="50"/>
  <c r="G11" i="50"/>
  <c r="G10" i="50"/>
  <c r="G9" i="50"/>
  <c r="D6" i="50"/>
  <c r="E13" i="49"/>
  <c r="H12" i="49"/>
  <c r="E12" i="49"/>
  <c r="E11" i="49"/>
  <c r="E10" i="49"/>
  <c r="D6" i="49"/>
  <c r="D5" i="49"/>
  <c r="F327" i="48"/>
  <c r="F279" i="48"/>
  <c r="M270" i="48"/>
  <c r="F269" i="48"/>
  <c r="G248" i="48"/>
  <c r="M209" i="48"/>
  <c r="F208" i="48"/>
  <c r="G160" i="48"/>
  <c r="M148" i="48"/>
  <c r="F147" i="48"/>
  <c r="F123" i="48"/>
  <c r="M87" i="48"/>
  <c r="F84" i="48"/>
  <c r="G72" i="48"/>
  <c r="F57"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7" i="45"/>
  <c r="E16" i="45"/>
  <c r="I15" i="45"/>
  <c r="E15" i="45"/>
  <c r="H14" i="45"/>
  <c r="G14" i="45"/>
  <c r="G11" i="45"/>
  <c r="G10" i="45"/>
  <c r="G9" i="45"/>
  <c r="D6" i="45"/>
  <c r="D5" i="45"/>
  <c r="F2" i="45"/>
  <c r="F6" i="44"/>
  <c r="H57" i="43"/>
  <c r="H56" i="43"/>
  <c r="H55" i="43"/>
  <c r="I54" i="43"/>
  <c r="H53" i="43"/>
  <c r="H52" i="43"/>
  <c r="H51" i="43"/>
  <c r="H50" i="43"/>
  <c r="I49" i="43"/>
  <c r="H49" i="43"/>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5" i="43"/>
  <c r="F6"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s="1"/>
  <c r="I12" i="38"/>
  <c r="H12" i="38"/>
  <c r="H11" i="38"/>
  <c r="H10" i="38"/>
  <c r="E7" i="38"/>
  <c r="E33" i="37"/>
  <c r="I32" i="37"/>
  <c r="I16" i="37" s="1"/>
  <c r="H32" i="37"/>
  <c r="H16" i="37" s="1"/>
  <c r="I12" i="37"/>
  <c r="H12" i="37"/>
  <c r="H11" i="37"/>
  <c r="H10" i="37"/>
  <c r="E7" i="37"/>
  <c r="I6" i="36"/>
  <c r="F2" i="36"/>
  <c r="E2" i="36"/>
  <c r="L12" i="35"/>
  <c r="L11" i="35"/>
  <c r="L10" i="35"/>
  <c r="I7" i="35"/>
  <c r="L3" i="35"/>
  <c r="F2" i="35"/>
  <c r="E2" i="35"/>
  <c r="V20" i="34"/>
  <c r="Q20" i="34"/>
  <c r="V17" i="34"/>
  <c r="Q17" i="34"/>
  <c r="E6" i="34"/>
  <c r="E5" i="34"/>
  <c r="F130" i="33"/>
  <c r="E130" i="33"/>
  <c r="J129" i="33"/>
  <c r="F129" i="33"/>
  <c r="E129" i="33"/>
  <c r="J128" i="33"/>
  <c r="F128" i="33"/>
  <c r="E128" i="33"/>
  <c r="J127" i="33"/>
  <c r="F127" i="33"/>
  <c r="E127" i="33"/>
  <c r="J126" i="33"/>
  <c r="F126" i="33"/>
  <c r="E126" i="33"/>
  <c r="F123" i="33"/>
  <c r="E123" i="33"/>
  <c r="E124" i="33" s="1"/>
  <c r="J120" i="33"/>
  <c r="F120" i="33"/>
  <c r="E120" i="33"/>
  <c r="E121" i="33" s="1"/>
  <c r="J117" i="33"/>
  <c r="F117" i="33"/>
  <c r="E117" i="33"/>
  <c r="E118" i="33" s="1"/>
  <c r="J116" i="33"/>
  <c r="E116" i="33"/>
  <c r="J115" i="33"/>
  <c r="F115" i="33"/>
  <c r="E115" i="33"/>
  <c r="J114" i="33"/>
  <c r="F114" i="33"/>
  <c r="E114" i="33"/>
  <c r="J113" i="33"/>
  <c r="F113" i="33"/>
  <c r="E113" i="33"/>
  <c r="F112" i="33"/>
  <c r="E112" i="33"/>
  <c r="J111" i="33"/>
  <c r="F111" i="33"/>
  <c r="E111" i="33"/>
  <c r="J110" i="33"/>
  <c r="F110" i="33"/>
  <c r="E110" i="33"/>
  <c r="J109" i="33"/>
  <c r="F109" i="33"/>
  <c r="E109" i="33"/>
  <c r="F108" i="33"/>
  <c r="E108" i="33"/>
  <c r="J107" i="33"/>
  <c r="F107" i="33"/>
  <c r="E107" i="33"/>
  <c r="J106" i="33"/>
  <c r="F106" i="33"/>
  <c r="E106" i="33"/>
  <c r="J105" i="33"/>
  <c r="F105" i="33"/>
  <c r="E105" i="33"/>
  <c r="J104" i="33"/>
  <c r="E104" i="33"/>
  <c r="J103" i="33"/>
  <c r="F103" i="33"/>
  <c r="E103" i="33"/>
  <c r="J102" i="33"/>
  <c r="F102" i="33"/>
  <c r="E102" i="33"/>
  <c r="J99" i="33"/>
  <c r="F99" i="33"/>
  <c r="E99" i="33"/>
  <c r="E100" i="33" s="1"/>
  <c r="J98" i="33"/>
  <c r="F98" i="33"/>
  <c r="E98" i="33"/>
  <c r="F97" i="33"/>
  <c r="E97" i="33"/>
  <c r="J96" i="33"/>
  <c r="E96" i="33"/>
  <c r="J95" i="33"/>
  <c r="F95" i="33"/>
  <c r="F94" i="33"/>
  <c r="E94" i="33"/>
  <c r="J93" i="33"/>
  <c r="F93" i="33"/>
  <c r="E93" i="33"/>
  <c r="J92" i="33"/>
  <c r="F92" i="33"/>
  <c r="E92" i="33"/>
  <c r="J91" i="33"/>
  <c r="F91" i="33"/>
  <c r="F90" i="33"/>
  <c r="E90" i="33"/>
  <c r="J89" i="33"/>
  <c r="F89" i="33"/>
  <c r="E89" i="33"/>
  <c r="J88" i="33"/>
  <c r="F88" i="33"/>
  <c r="E88" i="33"/>
  <c r="J87" i="33"/>
  <c r="I87" i="33"/>
  <c r="H87" i="33"/>
  <c r="F87" i="33"/>
  <c r="E87" i="33"/>
  <c r="J86" i="33"/>
  <c r="E86" i="33"/>
  <c r="J85" i="33"/>
  <c r="F85" i="33"/>
  <c r="E85" i="33"/>
  <c r="J84" i="33"/>
  <c r="F84" i="33"/>
  <c r="E84" i="33"/>
  <c r="J83" i="33"/>
  <c r="F83" i="33"/>
  <c r="E83" i="33"/>
  <c r="J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J68" i="33"/>
  <c r="L68" i="33" s="1"/>
  <c r="F68" i="33"/>
  <c r="J67" i="33"/>
  <c r="F67" i="33"/>
  <c r="E67" i="33"/>
  <c r="K67" i="33" s="1"/>
  <c r="K66" i="33"/>
  <c r="J66" i="33"/>
  <c r="L66" i="33" s="1"/>
  <c r="E66" i="33"/>
  <c r="K65" i="33"/>
  <c r="J65" i="33"/>
  <c r="K64" i="33"/>
  <c r="J64" i="33"/>
  <c r="F64" i="33"/>
  <c r="E64" i="33"/>
  <c r="K63" i="33"/>
  <c r="J63" i="33"/>
  <c r="F63" i="33"/>
  <c r="K62" i="33"/>
  <c r="J62" i="33"/>
  <c r="F62" i="33"/>
  <c r="E62" i="33"/>
  <c r="K61" i="33"/>
  <c r="J61" i="33"/>
  <c r="F61" i="33"/>
  <c r="E61" i="33"/>
  <c r="K60" i="33"/>
  <c r="J60" i="33"/>
  <c r="F60" i="33"/>
  <c r="E60" i="33"/>
  <c r="K59" i="33"/>
  <c r="J59" i="33"/>
  <c r="F59" i="33"/>
  <c r="E59" i="33"/>
  <c r="K58" i="33"/>
  <c r="J58" i="33"/>
  <c r="F58" i="33"/>
  <c r="E58" i="33"/>
  <c r="J57" i="33"/>
  <c r="K56" i="33"/>
  <c r="J56" i="33"/>
  <c r="F56" i="33"/>
  <c r="E56" i="33"/>
  <c r="K55" i="33"/>
  <c r="J55" i="33"/>
  <c r="F55" i="33"/>
  <c r="K54" i="33"/>
  <c r="J54" i="33"/>
  <c r="F54" i="33"/>
  <c r="E54" i="33"/>
  <c r="K53" i="33"/>
  <c r="J53" i="33"/>
  <c r="E53" i="33"/>
  <c r="J52" i="33"/>
  <c r="K51" i="33"/>
  <c r="J51" i="33"/>
  <c r="F51" i="33"/>
  <c r="E51" i="33"/>
  <c r="K50" i="33"/>
  <c r="J50" i="33"/>
  <c r="K49" i="33"/>
  <c r="J49" i="33"/>
  <c r="F49" i="33"/>
  <c r="E49" i="33"/>
  <c r="K48" i="33"/>
  <c r="J48" i="33"/>
  <c r="F48" i="33"/>
  <c r="E48" i="33"/>
  <c r="J47" i="33"/>
  <c r="F47" i="33"/>
  <c r="K46" i="33"/>
  <c r="J46" i="33"/>
  <c r="F46" i="33"/>
  <c r="E46" i="33"/>
  <c r="K45" i="33"/>
  <c r="J45" i="33"/>
  <c r="E45" i="33"/>
  <c r="K44" i="33"/>
  <c r="J44" i="33"/>
  <c r="F44" i="33"/>
  <c r="E44" i="33"/>
  <c r="K43" i="33"/>
  <c r="J43" i="33"/>
  <c r="F43" i="33"/>
  <c r="E43" i="33"/>
  <c r="K42" i="33"/>
  <c r="J42" i="33"/>
  <c r="F42" i="33"/>
  <c r="K41" i="33"/>
  <c r="J41" i="33"/>
  <c r="F41" i="33"/>
  <c r="E41" i="33"/>
  <c r="K40" i="33"/>
  <c r="K39" i="33"/>
  <c r="K38" i="33"/>
  <c r="K37" i="33"/>
  <c r="K36" i="33"/>
  <c r="K35" i="33"/>
  <c r="K34" i="33"/>
  <c r="K33" i="33"/>
  <c r="I33" i="33"/>
  <c r="H33" i="33"/>
  <c r="F33" i="33"/>
  <c r="E33" i="33"/>
  <c r="B34" i="33" s="1"/>
  <c r="F32" i="33"/>
  <c r="E32" i="33"/>
  <c r="K32" i="33" s="1"/>
  <c r="J31" i="33"/>
  <c r="F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G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J45" i="28"/>
  <c r="K46" i="28" s="1"/>
  <c r="S46" i="28" s="1"/>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S7" i="28"/>
  <c r="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I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J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I53" i="19"/>
  <c r="J54" i="19" s="1"/>
  <c r="K55" i="19" s="1"/>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S46" i="18"/>
  <c r="I47"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D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S47" i="11"/>
  <c r="AP46" i="11"/>
  <c r="AD46" i="11"/>
  <c r="S46" i="11"/>
  <c r="I47" i="11" s="1"/>
  <c r="J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F81" i="48" s="1"/>
  <c r="AQ126" i="5"/>
  <c r="AP126" i="5"/>
  <c r="S43" i="28" s="1"/>
  <c r="I44" i="28" s="1"/>
  <c r="S44" i="28" s="1"/>
  <c r="AO126" i="5"/>
  <c r="S42" i="28" s="1"/>
  <c r="AN126" i="5"/>
  <c r="S41" i="28" s="1"/>
  <c r="AM126" i="5"/>
  <c r="AL126" i="5"/>
  <c r="AC43" i="28" s="1"/>
  <c r="AK126" i="5"/>
  <c r="AC42" i="28" s="1"/>
  <c r="AJ126" i="5"/>
  <c r="AC41" i="28" s="1"/>
  <c r="AI126" i="5"/>
  <c r="AH126" i="5"/>
  <c r="AQ121" i="5"/>
  <c r="AP121" i="5"/>
  <c r="S43" i="27" s="1"/>
  <c r="AO121" i="5"/>
  <c r="S42" i="27" s="1"/>
  <c r="AN121" i="5"/>
  <c r="S41" i="27" s="1"/>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S42" i="24" s="1"/>
  <c r="AN94" i="5"/>
  <c r="S41" i="24" s="1"/>
  <c r="AM94" i="5"/>
  <c r="AL94" i="5"/>
  <c r="AC43" i="24" s="1"/>
  <c r="AK94" i="5"/>
  <c r="AC42" i="24" s="1"/>
  <c r="AJ94" i="5"/>
  <c r="G184" i="48" s="1"/>
  <c r="AI94" i="5"/>
  <c r="AH94" i="5"/>
  <c r="AQ89" i="5"/>
  <c r="AP89" i="5"/>
  <c r="S43" i="23" s="1"/>
  <c r="I44" i="23" s="1"/>
  <c r="AO89" i="5"/>
  <c r="S42" i="23" s="1"/>
  <c r="AN89" i="5"/>
  <c r="S41" i="23" s="1"/>
  <c r="AM89" i="5"/>
  <c r="AL89" i="5"/>
  <c r="AK89" i="5"/>
  <c r="AC42" i="23" s="1"/>
  <c r="AJ89" i="5"/>
  <c r="AI89" i="5"/>
  <c r="AH89" i="5"/>
  <c r="F303" i="48" s="1"/>
  <c r="AQ84" i="5"/>
  <c r="AP84" i="5"/>
  <c r="S43" i="22" s="1"/>
  <c r="I44" i="22" s="1"/>
  <c r="S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4" s="1"/>
  <c r="I47" i="14" s="1"/>
  <c r="AP63" i="5"/>
  <c r="S45" i="14" s="1"/>
  <c r="AO63" i="5"/>
  <c r="AN63" i="5"/>
  <c r="S43" i="13" s="1"/>
  <c r="AM63" i="5"/>
  <c r="AD46" i="14" s="1"/>
  <c r="AL63" i="5"/>
  <c r="AD45" i="13" s="1"/>
  <c r="AK63" i="5"/>
  <c r="AJ63" i="5"/>
  <c r="AD43" i="13" s="1"/>
  <c r="AI63" i="5"/>
  <c r="AH63" i="5"/>
  <c r="AQ58" i="5"/>
  <c r="S45" i="25" s="1"/>
  <c r="AP58" i="5"/>
  <c r="S44" i="25" s="1"/>
  <c r="AO58" i="5"/>
  <c r="S43" i="25" s="1"/>
  <c r="AN58" i="5"/>
  <c r="S42" i="25" s="1"/>
  <c r="AM58" i="5"/>
  <c r="AC45" i="25" s="1"/>
  <c r="AL58" i="5"/>
  <c r="AC44" i="25" s="1"/>
  <c r="AK58" i="5"/>
  <c r="AC43" i="25" s="1"/>
  <c r="AJ58" i="5"/>
  <c r="G294" i="48"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K48" i="5"/>
  <c r="AD44" i="15" s="1"/>
  <c r="AJ48" i="5"/>
  <c r="AI48" i="5"/>
  <c r="AH48" i="5"/>
  <c r="AQ43" i="5"/>
  <c r="AP43" i="5"/>
  <c r="S45" i="18" s="1"/>
  <c r="AO43" i="5"/>
  <c r="S44" i="18" s="1"/>
  <c r="AN43" i="5"/>
  <c r="S43" i="18" s="1"/>
  <c r="AM43" i="5"/>
  <c r="AL43" i="5"/>
  <c r="AD45" i="18" s="1"/>
  <c r="AK43" i="5"/>
  <c r="AD44" i="18" s="1"/>
  <c r="AJ43" i="5"/>
  <c r="G224" i="48" s="1"/>
  <c r="AI43" i="5"/>
  <c r="AH43" i="5"/>
  <c r="AQ38" i="5"/>
  <c r="S46" i="17" s="1"/>
  <c r="AP38" i="5"/>
  <c r="AO38" i="5"/>
  <c r="S44" i="17" s="1"/>
  <c r="AN38" i="5"/>
  <c r="S43" i="17" s="1"/>
  <c r="AM38" i="5"/>
  <c r="AD46" i="17" s="1"/>
  <c r="AL38" i="5"/>
  <c r="AD45" i="17" s="1"/>
  <c r="AK38" i="5"/>
  <c r="AD44" i="17" s="1"/>
  <c r="AJ38" i="5"/>
  <c r="AI38" i="5"/>
  <c r="AH38" i="5"/>
  <c r="F99" i="48" s="1"/>
  <c r="AQ33" i="5"/>
  <c r="U52" i="19" s="1"/>
  <c r="AP33" i="5"/>
  <c r="AO33" i="5"/>
  <c r="U50" i="19" s="1"/>
  <c r="AN33" i="5"/>
  <c r="U49" i="19" s="1"/>
  <c r="AM33" i="5"/>
  <c r="AG52" i="19" s="1"/>
  <c r="AL33" i="5"/>
  <c r="AG51" i="19" s="1"/>
  <c r="AK33" i="5"/>
  <c r="AG50" i="19" s="1"/>
  <c r="AJ33" i="5"/>
  <c r="AI33" i="5"/>
  <c r="AH33" i="5"/>
  <c r="F33" i="48" s="1"/>
  <c r="AQ28" i="5"/>
  <c r="AP28" i="5"/>
  <c r="L21" i="64" s="1"/>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K18" i="5"/>
  <c r="AJ18" i="5"/>
  <c r="AI18" i="5"/>
  <c r="AH18" i="5"/>
  <c r="AQ13" i="5"/>
  <c r="AP13" i="5"/>
  <c r="S45" i="11" s="1"/>
  <c r="AO13" i="5"/>
  <c r="S44" i="11" s="1"/>
  <c r="AN13" i="5"/>
  <c r="S43" i="11" s="1"/>
  <c r="AM13" i="5"/>
  <c r="AL13" i="5"/>
  <c r="AD45" i="11" s="1"/>
  <c r="AK13" i="5"/>
  <c r="AD44" i="11" s="1"/>
  <c r="AJ13" i="5"/>
  <c r="AI13" i="5"/>
  <c r="AH13" i="5"/>
  <c r="D6" i="5"/>
  <c r="D5" i="5"/>
  <c r="R13" i="4"/>
  <c r="P13" i="4"/>
  <c r="E13" i="4"/>
  <c r="E7" i="4"/>
  <c r="D5" i="4"/>
  <c r="D4" i="4"/>
  <c r="O13" i="3"/>
  <c r="M13" i="3" a="1"/>
  <c r="M13" i="3"/>
  <c r="J13" i="3"/>
  <c r="E13" i="3"/>
  <c r="E12" i="3"/>
  <c r="G12" i="3" s="1"/>
  <c r="I13" i="4" s="1"/>
  <c r="Q13" i="4" s="1"/>
  <c r="E59" i="2"/>
  <c r="E49" i="2"/>
  <c r="E41" i="2"/>
  <c r="E31" i="2"/>
  <c r="E27" i="2"/>
  <c r="E26" i="2"/>
  <c r="F25" i="2"/>
  <c r="E22" i="2"/>
  <c r="E21" i="2"/>
  <c r="F20" i="2"/>
  <c r="E19" i="2"/>
  <c r="I9" i="2"/>
  <c r="E5" i="2"/>
  <c r="E3" i="2"/>
  <c r="E2" i="2"/>
  <c r="B5" i="1"/>
  <c r="I10" i="50" l="1"/>
  <c r="H10" i="45"/>
  <c r="I11" i="38"/>
  <c r="I11" i="37"/>
  <c r="M11" i="35"/>
  <c r="H15" i="34"/>
  <c r="I27" i="40"/>
  <c r="I8" i="39"/>
  <c r="I26" i="33"/>
  <c r="J7" i="12"/>
  <c r="S6" i="12"/>
  <c r="S47" i="12"/>
  <c r="J48" i="12"/>
  <c r="L22" i="64"/>
  <c r="F23" i="64" s="1"/>
  <c r="S46" i="16"/>
  <c r="S47" i="15"/>
  <c r="J48" i="15"/>
  <c r="J47" i="25"/>
  <c r="I46" i="25"/>
  <c r="K48" i="25"/>
  <c r="S48" i="25" s="1"/>
  <c r="AD44" i="13"/>
  <c r="AD44" i="14"/>
  <c r="S44" i="13"/>
  <c r="S44" i="14"/>
  <c r="K8" i="11"/>
  <c r="S8" i="11" s="1"/>
  <c r="S7" i="11"/>
  <c r="S48" i="11"/>
  <c r="K49" i="11"/>
  <c r="S49" i="11" s="1"/>
  <c r="J48" i="13"/>
  <c r="S47" i="13"/>
  <c r="S7" i="16"/>
  <c r="K8" i="16"/>
  <c r="S8" i="16" s="1"/>
  <c r="K8" i="17"/>
  <c r="S8" i="17" s="1"/>
  <c r="S7" i="17"/>
  <c r="J50" i="20"/>
  <c r="K51" i="20"/>
  <c r="S51" i="20" s="1"/>
  <c r="I49" i="20"/>
  <c r="S47" i="14"/>
  <c r="J48" i="14"/>
  <c r="D37" i="7"/>
  <c r="D38" i="7" s="1"/>
  <c r="D39" i="7" s="1"/>
  <c r="D34" i="7"/>
  <c r="D35" i="7"/>
  <c r="J7" i="14"/>
  <c r="S6" i="14"/>
  <c r="O22" i="64"/>
  <c r="AD46" i="16"/>
  <c r="I47" i="17"/>
  <c r="J48" i="17"/>
  <c r="H9" i="45"/>
  <c r="I26" i="40"/>
  <c r="M10" i="35"/>
  <c r="H14" i="34"/>
  <c r="I25" i="33"/>
  <c r="I9" i="50"/>
  <c r="I7" i="39"/>
  <c r="I10" i="38"/>
  <c r="I10" i="37"/>
  <c r="J45" i="24"/>
  <c r="S44" i="24"/>
  <c r="K8" i="18"/>
  <c r="S8" i="18" s="1"/>
  <c r="S7" i="18"/>
  <c r="K8" i="19"/>
  <c r="U7" i="19"/>
  <c r="J48" i="18"/>
  <c r="L56" i="19"/>
  <c r="U56" i="19" s="1"/>
  <c r="U55" i="19"/>
  <c r="H54" i="43"/>
  <c r="I48" i="43"/>
  <c r="H48" i="43" s="1"/>
  <c r="G273" i="48"/>
  <c r="G151" i="48"/>
  <c r="G27" i="48"/>
  <c r="G212" i="48"/>
  <c r="O19" i="64"/>
  <c r="G215" i="48"/>
  <c r="G93" i="48"/>
  <c r="G276" i="48"/>
  <c r="G154" i="48"/>
  <c r="G30" i="48"/>
  <c r="L19" i="64"/>
  <c r="S43" i="16"/>
  <c r="F224" i="48"/>
  <c r="F102" i="48"/>
  <c r="F285" i="48"/>
  <c r="F163" i="48"/>
  <c r="F39" i="48"/>
  <c r="F230" i="48"/>
  <c r="F108" i="48"/>
  <c r="F291" i="48"/>
  <c r="F45" i="48"/>
  <c r="G297" i="48"/>
  <c r="G175" i="48"/>
  <c r="G51" i="48"/>
  <c r="G236" i="48"/>
  <c r="F300" i="48"/>
  <c r="F178" i="48"/>
  <c r="F54" i="48"/>
  <c r="F239" i="48"/>
  <c r="F117" i="48"/>
  <c r="G303" i="48"/>
  <c r="G181" i="48"/>
  <c r="G57" i="48"/>
  <c r="G242" i="48"/>
  <c r="G120" i="48"/>
  <c r="AC41" i="23"/>
  <c r="F306" i="48"/>
  <c r="F184" i="48"/>
  <c r="F60" i="48"/>
  <c r="F245" i="48"/>
  <c r="G309" i="48"/>
  <c r="G187" i="48"/>
  <c r="G63" i="48"/>
  <c r="G126" i="48"/>
  <c r="F312" i="48"/>
  <c r="F190" i="48"/>
  <c r="F66" i="48"/>
  <c r="F251" i="48"/>
  <c r="F129" i="48"/>
  <c r="G315" i="48"/>
  <c r="G193" i="48"/>
  <c r="G69" i="48"/>
  <c r="G254" i="48"/>
  <c r="G132" i="48"/>
  <c r="AG42" i="31"/>
  <c r="F318" i="48"/>
  <c r="F196" i="48"/>
  <c r="F72" i="48"/>
  <c r="F135" i="48"/>
  <c r="G321" i="48"/>
  <c r="G199" i="48"/>
  <c r="G75" i="48"/>
  <c r="AC41" i="27"/>
  <c r="G260" i="48"/>
  <c r="F324" i="48"/>
  <c r="F202" i="48"/>
  <c r="F78" i="48"/>
  <c r="F263" i="48"/>
  <c r="F141" i="48"/>
  <c r="G327" i="48"/>
  <c r="G205" i="48"/>
  <c r="G81" i="48"/>
  <c r="G266" i="48"/>
  <c r="G144" i="48"/>
  <c r="AD46" i="29"/>
  <c r="AD43" i="12"/>
  <c r="S7" i="13"/>
  <c r="S7" i="15"/>
  <c r="S45" i="28"/>
  <c r="S5" i="30"/>
  <c r="J6" i="30"/>
  <c r="H38" i="43"/>
  <c r="G90" i="48"/>
  <c r="G138" i="48"/>
  <c r="F169" i="48"/>
  <c r="F257" i="48"/>
  <c r="I28" i="40"/>
  <c r="M12" i="35"/>
  <c r="I27" i="33"/>
  <c r="H11" i="45"/>
  <c r="I9" i="39"/>
  <c r="H16" i="34"/>
  <c r="L20" i="64"/>
  <c r="S44" i="16"/>
  <c r="D22" i="7"/>
  <c r="U54" i="19"/>
  <c r="K7" i="23"/>
  <c r="S7" i="23" s="1"/>
  <c r="S6" i="23"/>
  <c r="K7" i="27"/>
  <c r="S7" i="27" s="1"/>
  <c r="S6" i="27"/>
  <c r="J46" i="30"/>
  <c r="H15" i="43"/>
  <c r="F10" i="55"/>
  <c r="F10" i="54"/>
  <c r="F2" i="55"/>
  <c r="F2" i="54"/>
  <c r="S45" i="22"/>
  <c r="K46" i="22"/>
  <c r="S46" i="22" s="1"/>
  <c r="J45" i="27"/>
  <c r="S44" i="27"/>
  <c r="F270" i="48"/>
  <c r="F148" i="48"/>
  <c r="F24" i="48"/>
  <c r="F209" i="48"/>
  <c r="F87" i="48"/>
  <c r="F218" i="48"/>
  <c r="F96" i="48"/>
  <c r="F157" i="48"/>
  <c r="G221" i="48"/>
  <c r="G99" i="48"/>
  <c r="G282" i="48"/>
  <c r="G36" i="48"/>
  <c r="AD43" i="17"/>
  <c r="G227" i="48"/>
  <c r="G105" i="48"/>
  <c r="G288" i="48"/>
  <c r="G166" i="48"/>
  <c r="G42" i="48"/>
  <c r="AD43" i="15"/>
  <c r="G233" i="48"/>
  <c r="G111" i="48"/>
  <c r="G172" i="48"/>
  <c r="S45" i="13"/>
  <c r="AC41" i="21"/>
  <c r="G270" i="48"/>
  <c r="G148" i="48"/>
  <c r="G24" i="48"/>
  <c r="G5" i="48"/>
  <c r="G209" i="48"/>
  <c r="G87" i="48"/>
  <c r="G2" i="48"/>
  <c r="F212" i="48"/>
  <c r="F90" i="48"/>
  <c r="F273" i="48"/>
  <c r="F151" i="48"/>
  <c r="F27" i="48"/>
  <c r="F276" i="48"/>
  <c r="F154" i="48"/>
  <c r="F30" i="48"/>
  <c r="F215" i="48"/>
  <c r="F93" i="48"/>
  <c r="O21" i="64"/>
  <c r="AD45" i="16"/>
  <c r="G279" i="48"/>
  <c r="G157" i="48"/>
  <c r="G33" i="48"/>
  <c r="G218" i="48"/>
  <c r="G96" i="48"/>
  <c r="AG49" i="19"/>
  <c r="F282" i="48"/>
  <c r="F160" i="48"/>
  <c r="F36" i="48"/>
  <c r="F221" i="48"/>
  <c r="G285" i="48"/>
  <c r="G163" i="48"/>
  <c r="G39" i="48"/>
  <c r="G102" i="48"/>
  <c r="AD43" i="18"/>
  <c r="F288" i="48"/>
  <c r="F166" i="48"/>
  <c r="F42" i="48"/>
  <c r="F227" i="48"/>
  <c r="F105" i="48"/>
  <c r="G291" i="48"/>
  <c r="G169" i="48"/>
  <c r="G45" i="48"/>
  <c r="G230" i="48"/>
  <c r="G108" i="48"/>
  <c r="F294" i="48"/>
  <c r="F172" i="48"/>
  <c r="F48" i="48"/>
  <c r="F111" i="48"/>
  <c r="F236" i="48"/>
  <c r="F114" i="48"/>
  <c r="F297" i="48"/>
  <c r="F175" i="48"/>
  <c r="F51" i="48"/>
  <c r="G239" i="48"/>
  <c r="G117" i="48"/>
  <c r="G300" i="48"/>
  <c r="G178" i="48"/>
  <c r="G54" i="48"/>
  <c r="F242" i="48"/>
  <c r="F120" i="48"/>
  <c r="F181" i="48"/>
  <c r="J45" i="23"/>
  <c r="S44" i="23"/>
  <c r="G245" i="48"/>
  <c r="G123" i="48"/>
  <c r="AC41" i="24"/>
  <c r="G306" i="48"/>
  <c r="G60" i="48"/>
  <c r="F248" i="48"/>
  <c r="F126" i="48"/>
  <c r="F309" i="48"/>
  <c r="F187" i="48"/>
  <c r="F63" i="48"/>
  <c r="G251" i="48"/>
  <c r="G129" i="48"/>
  <c r="G312" i="48"/>
  <c r="G190" i="48"/>
  <c r="G66" i="48"/>
  <c r="F254" i="48"/>
  <c r="F132" i="48"/>
  <c r="F315" i="48"/>
  <c r="F69" i="48"/>
  <c r="J46" i="31"/>
  <c r="S45" i="31"/>
  <c r="G257" i="48"/>
  <c r="G135" i="48"/>
  <c r="AD46" i="32"/>
  <c r="G196" i="48"/>
  <c r="F260" i="48"/>
  <c r="F138" i="48"/>
  <c r="F321" i="48"/>
  <c r="F199" i="48"/>
  <c r="F75" i="48"/>
  <c r="G263" i="48"/>
  <c r="G141" i="48"/>
  <c r="G324" i="48"/>
  <c r="G202" i="48"/>
  <c r="G78" i="48"/>
  <c r="F266" i="48"/>
  <c r="F144" i="48"/>
  <c r="F205" i="48"/>
  <c r="AD43" i="11"/>
  <c r="AD44" i="16"/>
  <c r="AB45" i="20"/>
  <c r="J45" i="21"/>
  <c r="S5" i="24"/>
  <c r="J6" i="24"/>
  <c r="J7" i="25"/>
  <c r="K8" i="25"/>
  <c r="S8" i="25" s="1"/>
  <c r="I6" i="25"/>
  <c r="AC42" i="25"/>
  <c r="AG42" i="30"/>
  <c r="E70" i="33"/>
  <c r="K70" i="33" s="1"/>
  <c r="H31" i="33" s="1"/>
  <c r="H136" i="33" s="1"/>
  <c r="K69" i="33"/>
  <c r="G48" i="48"/>
  <c r="G114" i="48"/>
  <c r="F193" i="48"/>
  <c r="F233" i="48"/>
  <c r="G318" i="48"/>
  <c r="L6" i="51"/>
  <c r="H46" i="51"/>
  <c r="H51" i="51"/>
  <c r="H52" i="51"/>
  <c r="G51" i="51"/>
  <c r="G46" i="51"/>
  <c r="G52" i="51"/>
  <c r="D3" i="39"/>
  <c r="D22" i="40"/>
  <c r="I31" i="33"/>
  <c r="I136" i="33" s="1"/>
  <c r="S5" i="22"/>
  <c r="J6" i="31"/>
  <c r="D49" i="61"/>
  <c r="D48" i="61"/>
  <c r="D51" i="61"/>
  <c r="F5" i="44"/>
  <c r="F5" i="42"/>
  <c r="E31" i="62"/>
  <c r="E4" i="62"/>
  <c r="E24" i="52"/>
  <c r="AA11" i="63"/>
  <c r="U14" i="63"/>
  <c r="U148" i="63"/>
  <c r="AA16" i="63"/>
  <c r="AA12" i="63"/>
  <c r="J49" i="51"/>
  <c r="J50" i="51"/>
  <c r="J51" i="51"/>
  <c r="J52" i="51"/>
  <c r="E6" i="62"/>
  <c r="E29" i="62"/>
  <c r="AA13" i="63"/>
  <c r="S48" i="17" l="1"/>
  <c r="K49" i="17"/>
  <c r="S49" i="17" s="1"/>
  <c r="K49" i="14"/>
  <c r="S49" i="14" s="1"/>
  <c r="S48" i="14"/>
  <c r="J48" i="16"/>
  <c r="I47" i="16"/>
  <c r="K7" i="24"/>
  <c r="S7" i="24" s="1"/>
  <c r="S6" i="24"/>
  <c r="K46" i="27"/>
  <c r="S46" i="27" s="1"/>
  <c r="S45" i="27"/>
  <c r="S46" i="30"/>
  <c r="K47" i="30"/>
  <c r="S47" i="30" s="1"/>
  <c r="L9" i="19"/>
  <c r="U9" i="19" s="1"/>
  <c r="U8" i="19"/>
  <c r="K46" i="24"/>
  <c r="S46" i="24" s="1"/>
  <c r="S45" i="24"/>
  <c r="L23" i="64"/>
  <c r="G24" i="64"/>
  <c r="S7" i="12"/>
  <c r="K8" i="12"/>
  <c r="S8" i="12" s="1"/>
  <c r="K46" i="21"/>
  <c r="S46" i="21" s="1"/>
  <c r="S45" i="21"/>
  <c r="S48" i="18"/>
  <c r="K49" i="18"/>
  <c r="S49" i="18" s="1"/>
  <c r="D41" i="7"/>
  <c r="D40" i="7"/>
  <c r="D43" i="7"/>
  <c r="D44" i="7" s="1"/>
  <c r="D45" i="7" s="1"/>
  <c r="I58" i="43"/>
  <c r="H58" i="43" s="1"/>
  <c r="S7" i="14"/>
  <c r="K8" i="14"/>
  <c r="S8" i="14" s="1"/>
  <c r="S6" i="31"/>
  <c r="K7" i="31"/>
  <c r="S7" i="31" s="1"/>
  <c r="S46" i="31"/>
  <c r="K47" i="31"/>
  <c r="S47" i="31" s="1"/>
  <c r="S45" i="23"/>
  <c r="K46" i="23"/>
  <c r="S46" i="23" s="1"/>
  <c r="K7" i="30"/>
  <c r="S7" i="30" s="1"/>
  <c r="S6" i="30"/>
  <c r="S48" i="13"/>
  <c r="K49" i="13"/>
  <c r="S49" i="13" s="1"/>
  <c r="S48" i="15"/>
  <c r="K49" i="15"/>
  <c r="S49" i="15" s="1"/>
  <c r="K49" i="12"/>
  <c r="S49" i="12" s="1"/>
  <c r="S48" i="12"/>
  <c r="D49" i="7" l="1"/>
  <c r="D46" i="7"/>
  <c r="D47" i="7"/>
  <c r="D48" i="7"/>
  <c r="D51" i="7"/>
  <c r="L24" i="64"/>
  <c r="H25" i="64"/>
  <c r="L25" i="64"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<sst xmlns="http://schemas.openxmlformats.org/spreadsheetml/2006/main" count="14722" uniqueCount="3699">
  <si>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</si>
  <si>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</si>
  <si>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</si>
  <si>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</si>
  <si>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</si>
  <si>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</si>
  <si>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</si>
  <si>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</si>
  <si>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</si>
  <si>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</si>
  <si>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</si>
  <si>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</si>
  <si>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</si>
  <si>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</si>
  <si>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</si>
  <si>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</si>
  <si>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</si>
  <si>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</si>
  <si>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</si>
  <si>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</si>
  <si>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</si>
  <si>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</si>
  <si>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</si>
  <si>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</si>
  <si>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</si>
  <si>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</si>
  <si>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</si>
  <si>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</si>
  <si>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</si>
  <si>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</si>
  <si>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</si>
  <si>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</si>
  <si>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</si>
  <si>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</si>
  <si>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</si>
  <si>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</si>
  <si>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</si>
  <si>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</si>
  <si>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</si>
  <si>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</si>
  <si>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</si>
  <si>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</si>
  <si>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</si>
  <si>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</si>
  <si>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</si>
  <si>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</si>
  <si>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</si>
  <si>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</si>
  <si>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</si>
  <si>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</si>
  <si>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</si>
  <si>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</si>
  <si>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</si>
  <si>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</si>
  <si>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</si>
  <si>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</si>
  <si>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</si>
  <si>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</si>
  <si>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</si>
  <si>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</si>
  <si>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</si>
  <si>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</si>
  <si>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</si>
  <si>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</si>
  <si>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</si>
  <si>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</si>
  <si>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</si>
  <si>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</si>
  <si>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</si>
  <si>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</si>
  <si>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Московская область, г. Щёлково, ул. Иванова, д.2/1,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</si>
  <si>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</si>
  <si>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</si>
  <si>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</si>
  <si>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</si>
  <si>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</si>
  <si>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</si>
  <si>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</si>
  <si>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</si>
  <si>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727-94-74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</si>
  <si>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</si>
  <si>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</si>
  <si>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</si>
  <si>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</si>
  <si>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</si>
  <si>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</si>
  <si>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</si>
  <si>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</si>
  <si>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</si>
  <si>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</si>
  <si>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</si>
  <si>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</si>
  <si>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</si>
  <si>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</si>
  <si>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</si>
  <si>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</si>
  <si>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</si>
  <si>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</si>
  <si>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</si>
  <si>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143</t>
  </si>
  <si>
    <t>город Москва</t>
  </si>
  <si>
    <t>поселение Московский</t>
  </si>
  <si>
    <t>45952000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</si>
  <si>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</si>
  <si>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</si>
  <si>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</si>
  <si>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</si>
  <si>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</si>
  <si>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</si>
  <si>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</si>
  <si>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</si>
  <si>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</si>
  <si>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</si>
  <si>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</si>
  <si>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</si>
  <si>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</si>
  <si>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</si>
  <si>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</si>
  <si>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 зоне поставки котельной, расположенной по адресу: г. Москва, поселение Московский, Передельцевский проезд, стр.2</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</si>
  <si>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</si>
  <si>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</si>
  <si>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</si>
  <si>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</si>
  <si>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</si>
  <si>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</si>
  <si>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</si>
  <si>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</si>
  <si>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</si>
  <si>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</si>
  <si>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</si>
  <si>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</si>
  <si>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</si>
  <si>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</si>
  <si>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</si>
  <si>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</si>
  <si>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</si>
  <si>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</si>
  <si>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</si>
  <si>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</si>
  <si>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</si>
  <si>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</si>
  <si>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</si>
  <si>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</si>
  <si>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</si>
  <si>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</si>
  <si>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</si>
  <si>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</si>
  <si>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</si>
  <si>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</si>
  <si>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</si>
  <si>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</si>
  <si>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</si>
  <si>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</si>
  <si>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</si>
  <si>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</si>
  <si>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</si>
  <si>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</si>
  <si>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</si>
  <si>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</si>
  <si>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</si>
  <si>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</si>
  <si>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</si>
  <si>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</si>
  <si>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</si>
  <si>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</si>
  <si>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</si>
  <si>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</si>
  <si>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</si>
  <si>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</si>
  <si>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</si>
  <si>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</si>
  <si>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</si>
  <si>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</si>
  <si>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</si>
  <si>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</si>
  <si>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</si>
  <si>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</si>
  <si>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</si>
  <si>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</si>
  <si>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</si>
  <si>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</si>
  <si>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</si>
  <si>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</si>
  <si>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</si>
  <si>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</si>
  <si>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</si>
  <si>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</si>
  <si>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</si>
  <si>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</si>
  <si>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</si>
  <si>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</si>
  <si>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</si>
  <si>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</si>
  <si>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</si>
  <si>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</si>
  <si>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</si>
  <si>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</si>
  <si>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</si>
  <si>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</si>
  <si>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</si>
  <si>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</si>
  <si>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</si>
  <si>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</si>
  <si>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</si>
  <si>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</si>
  <si>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</si>
  <si>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</si>
  <si>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</si>
  <si>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</si>
  <si>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</si>
  <si>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</si>
  <si>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</si>
  <si>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</si>
  <si>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</si>
  <si>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</si>
  <si>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</si>
  <si>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</si>
  <si>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</si>
  <si>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</si>
  <si>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</si>
  <si>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</si>
  <si>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</si>
  <si>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</si>
  <si>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</si>
  <si>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</si>
  <si>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</si>
  <si>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</si>
  <si>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</si>
  <si>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</si>
  <si>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</si>
  <si>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</si>
  <si>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</si>
  <si>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</si>
  <si>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</si>
  <si>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</si>
  <si>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</si>
  <si>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</si>
  <si>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</si>
  <si>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</si>
  <si>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</si>
  <si>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</si>
  <si>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</si>
  <si>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</si>
  <si>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</si>
  <si>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</si>
  <si>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</si>
  <si>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</si>
  <si>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</si>
  <si>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</si>
  <si>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</si>
  <si>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</si>
  <si>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</si>
  <si>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</si>
  <si>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</si>
  <si>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</si>
  <si>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</si>
  <si>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</si>
  <si>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</si>
  <si>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</si>
  <si>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</si>
  <si>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</si>
  <si>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</si>
  <si>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</si>
  <si>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</si>
  <si>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</si>
  <si>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</si>
  <si>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</si>
  <si>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</si>
  <si>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</si>
  <si>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</si>
  <si>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</si>
  <si>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</si>
  <si>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</si>
  <si>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</si>
  <si>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</si>
  <si>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</si>
  <si>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</si>
  <si>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</si>
  <si>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</si>
  <si>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</si>
  <si>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</si>
  <si>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</si>
  <si>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</si>
  <si>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</si>
  <si>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</si>
  <si>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</si>
  <si>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</si>
  <si>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</si>
  <si>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</si>
  <si>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</si>
  <si>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</si>
  <si>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</si>
  <si>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</si>
  <si>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</si>
  <si>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</si>
  <si>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</si>
  <si>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</si>
  <si>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</si>
  <si>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</si>
  <si>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</si>
  <si>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</si>
  <si>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</si>
  <si>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</si>
  <si>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</si>
  <si>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</si>
  <si>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</si>
  <si>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</si>
  <si>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</si>
  <si>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</si>
  <si>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</si>
  <si>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</si>
  <si>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</si>
  <si>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</si>
  <si>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</si>
  <si>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</si>
  <si>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</si>
  <si>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</si>
  <si>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</si>
  <si>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</si>
  <si>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</si>
  <si>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</si>
  <si>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</si>
  <si>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</si>
  <si>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</si>
  <si>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</si>
  <si>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</si>
  <si>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</si>
  <si>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</si>
  <si>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</si>
  <si>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</si>
  <si>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</si>
  <si>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</si>
  <si>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</si>
  <si>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</si>
  <si>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</si>
  <si>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</si>
  <si>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</si>
  <si>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</si>
  <si>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</si>
  <si>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</si>
  <si>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</si>
  <si>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</si>
  <si>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</si>
  <si>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</si>
  <si>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</si>
  <si>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</si>
  <si>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</si>
  <si>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</si>
  <si>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</si>
  <si>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</si>
  <si>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</si>
  <si>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</si>
  <si>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</si>
  <si>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</si>
  <si>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</si>
  <si>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</si>
  <si>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</si>
  <si>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</si>
  <si>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</si>
  <si>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</si>
  <si>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</si>
  <si>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</si>
  <si>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</si>
  <si>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</si>
  <si>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</si>
  <si>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</si>
  <si>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</si>
  <si>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</si>
  <si>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</si>
  <si>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</si>
  <si>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</si>
  <si>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</si>
  <si>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</si>
  <si>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</si>
  <si>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</si>
  <si>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</si>
  <si>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</si>
  <si>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</si>
  <si>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</si>
  <si>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</si>
  <si>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</si>
  <si>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</si>
  <si>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</si>
  <si>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</si>
  <si>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</si>
  <si>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</si>
  <si>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</si>
  <si>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</si>
  <si>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</si>
  <si>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</si>
  <si>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</si>
  <si>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</si>
  <si>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</si>
  <si>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</si>
  <si>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</si>
  <si>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</si>
  <si>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</si>
  <si>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</si>
  <si>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</si>
  <si>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</si>
  <si>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</si>
  <si>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</si>
  <si>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</si>
  <si>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</si>
  <si>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</si>
  <si>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</si>
  <si>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</si>
  <si>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</si>
  <si>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</si>
  <si>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</si>
  <si>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</si>
  <si>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</si>
  <si>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</si>
  <si>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</si>
  <si>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</si>
  <si>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</si>
  <si>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</si>
  <si>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</si>
  <si>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</si>
  <si>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</si>
  <si>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</si>
  <si>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</si>
  <si>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</si>
  <si>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</si>
  <si>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</si>
  <si>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</si>
  <si>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</si>
  <si>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</si>
  <si>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</si>
  <si>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</si>
  <si>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</si>
  <si>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</si>
  <si>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</si>
  <si>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</si>
  <si>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</si>
  <si>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</si>
  <si>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</si>
  <si>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</si>
  <si>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</si>
  <si>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</si>
  <si>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</si>
  <si>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</si>
  <si>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</si>
  <si>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</si>
  <si>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</si>
  <si>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</si>
  <si>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</si>
  <si>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</si>
  <si>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</si>
  <si>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</si>
  <si>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</si>
  <si>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</si>
  <si>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</si>
  <si>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</si>
  <si>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</si>
  <si>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</si>
  <si>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</si>
  <si>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</si>
  <si>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</si>
  <si>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</si>
  <si>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</si>
  <si>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</si>
  <si>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</si>
  <si>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</si>
  <si>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</si>
  <si>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</si>
  <si>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</si>
  <si>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</si>
  <si>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</si>
  <si>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</si>
  <si>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</si>
  <si>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</si>
  <si>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</si>
  <si>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</si>
  <si>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</si>
  <si>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</si>
  <si>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</si>
  <si>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</si>
  <si>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</si>
  <si>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</si>
  <si>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</si>
  <si>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</si>
  <si>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</si>
  <si>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</si>
  <si>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</si>
  <si>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</si>
  <si>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</si>
  <si>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</si>
  <si>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</si>
  <si>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</si>
  <si>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</si>
  <si>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</si>
  <si>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</si>
  <si>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</si>
  <si>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</si>
  <si>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</si>
  <si>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</si>
  <si>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</si>
  <si>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</si>
  <si>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</si>
  <si>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</si>
  <si>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</si>
  <si>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</si>
  <si>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</si>
  <si>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</si>
  <si>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</si>
  <si>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</si>
  <si>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</si>
  <si>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</si>
  <si>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</si>
  <si>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</si>
  <si>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</si>
  <si>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</si>
  <si>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</si>
  <si>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</si>
  <si>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</si>
  <si>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</si>
  <si>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</si>
  <si>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</si>
  <si>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</si>
  <si>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</si>
  <si>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</si>
  <si>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</si>
  <si>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</si>
  <si>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</si>
  <si>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</si>
  <si>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</si>
  <si>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</si>
  <si>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</si>
  <si>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</si>
  <si>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</si>
  <si>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</si>
  <si>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</si>
  <si>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</si>
  <si>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</si>
  <si>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</si>
  <si>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</si>
  <si>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</si>
  <si>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</si>
  <si>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</si>
  <si>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</si>
  <si>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</si>
  <si>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</si>
  <si>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</si>
  <si>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</si>
  <si>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</si>
  <si>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</si>
  <si>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</si>
  <si>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</si>
  <si>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</si>
  <si>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</si>
  <si>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</si>
  <si>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</si>
  <si>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</si>
  <si>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</si>
  <si>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</si>
  <si>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</si>
  <si>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</si>
  <si>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</si>
  <si>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</si>
  <si>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</si>
  <si>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</si>
  <si>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</si>
  <si>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</si>
  <si>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</si>
  <si>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</si>
  <si>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</si>
  <si>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</si>
  <si>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</si>
  <si>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</si>
  <si>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</si>
  <si>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</si>
  <si>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</si>
  <si>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</si>
  <si>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</si>
  <si>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</si>
  <si>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</si>
  <si>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</si>
  <si>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</si>
  <si>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</si>
  <si>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</si>
  <si>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</si>
  <si>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</si>
  <si>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</si>
  <si>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</si>
  <si>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</si>
  <si>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</si>
  <si>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</si>
  <si>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</si>
  <si>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</si>
  <si>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</si>
  <si>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</si>
  <si>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</si>
  <si>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</si>
  <si>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</si>
  <si>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</si>
  <si>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</si>
  <si>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</si>
  <si>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</si>
  <si>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</si>
  <si>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</si>
  <si>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</si>
  <si>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</si>
  <si>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</si>
  <si>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</si>
  <si>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</si>
  <si>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</si>
  <si>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</si>
  <si>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</si>
  <si>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</si>
  <si>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</si>
  <si>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</si>
  <si>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</si>
  <si>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</si>
  <si>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</si>
  <si>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</si>
  <si>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</si>
  <si>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</si>
  <si>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</si>
  <si>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</si>
  <si>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</si>
  <si>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</si>
  <si>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</si>
  <si>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</si>
  <si>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</si>
  <si>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</si>
  <si>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</si>
  <si>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</si>
  <si>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</si>
  <si>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</si>
  <si>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</si>
  <si>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</si>
  <si>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</si>
  <si>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</si>
  <si>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</si>
  <si>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</si>
  <si>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</si>
  <si>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</si>
  <si>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</si>
  <si>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</si>
  <si>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</si>
  <si>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</si>
  <si>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</si>
  <si>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</si>
  <si>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</si>
  <si>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</si>
  <si>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</si>
  <si>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</si>
  <si>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</si>
  <si>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</si>
  <si>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</si>
  <si>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</si>
  <si>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</si>
  <si>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</si>
  <si>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</si>
  <si>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</si>
  <si>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</si>
  <si>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</si>
  <si>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</si>
  <si>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</si>
  <si>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</si>
  <si>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</si>
  <si>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</si>
  <si>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</si>
  <si>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</si>
  <si>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</si>
  <si>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</si>
  <si>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</si>
  <si>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</si>
  <si>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</si>
  <si>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</si>
  <si>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</si>
  <si>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</si>
  <si>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</si>
  <si>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</si>
  <si>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</si>
  <si>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</si>
  <si>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</si>
  <si>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</si>
  <si>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</si>
  <si>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</si>
  <si>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</si>
  <si>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</si>
  <si>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</si>
  <si>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</si>
  <si>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</si>
  <si>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</si>
  <si>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</si>
  <si>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</si>
  <si>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</si>
  <si>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</si>
  <si>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</si>
  <si>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</si>
  <si>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</si>
  <si>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</si>
  <si>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</si>
  <si>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</si>
  <si>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</si>
  <si>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</si>
  <si>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</si>
  <si>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</si>
  <si>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</si>
  <si>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</si>
  <si>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</si>
  <si>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</si>
  <si>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</si>
  <si>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</si>
  <si>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</si>
  <si>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</si>
  <si>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</si>
  <si>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</si>
  <si>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</si>
  <si>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</si>
  <si>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</si>
  <si>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</si>
  <si>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</si>
  <si>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</si>
  <si>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</si>
  <si>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</si>
  <si>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</si>
  <si>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</si>
  <si>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</si>
  <si>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</si>
  <si>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</si>
  <si>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</si>
  <si>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</si>
  <si>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</si>
  <si>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</si>
  <si>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</si>
  <si>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</si>
  <si>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</si>
  <si>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</si>
  <si>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</si>
  <si>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</si>
  <si>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</si>
  <si>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</si>
  <si>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</si>
  <si>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</si>
  <si>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</si>
  <si>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</si>
  <si>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</si>
  <si>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</si>
  <si>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</si>
  <si>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</si>
  <si>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</si>
  <si>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</si>
  <si>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</si>
  <si>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</si>
  <si>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</si>
  <si>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</si>
  <si>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</si>
  <si>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</si>
  <si>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</si>
  <si>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</si>
  <si>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</si>
  <si>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</si>
  <si>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</si>
  <si>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</si>
  <si>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</si>
  <si>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</si>
  <si>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</si>
  <si>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</si>
  <si>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</si>
  <si>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</si>
  <si>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</si>
  <si>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</si>
  <si>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</si>
  <si>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</si>
  <si>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</si>
  <si>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</si>
  <si>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</si>
  <si>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</si>
  <si>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</si>
  <si>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</si>
  <si>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</si>
  <si>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</si>
  <si>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</si>
  <si>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</si>
  <si>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</si>
  <si>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</si>
  <si>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</si>
  <si>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</si>
  <si>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</si>
  <si>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</si>
  <si>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</si>
  <si>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</si>
  <si>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</si>
  <si>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</si>
  <si>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</si>
  <si>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</si>
  <si>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</si>
  <si>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</si>
  <si>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</si>
  <si>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</si>
  <si>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</si>
  <si>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</si>
  <si>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</si>
  <si>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</si>
  <si>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</si>
  <si>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</si>
  <si>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</si>
  <si>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</si>
  <si>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</si>
  <si>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</si>
  <si>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</si>
  <si>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</si>
  <si>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</si>
  <si>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</si>
  <si>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</si>
  <si>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</si>
  <si>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</si>
  <si>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</si>
  <si>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</si>
  <si>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</si>
  <si>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</si>
  <si>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</si>
  <si>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</si>
  <si>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</si>
  <si>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</si>
  <si>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</si>
  <si>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</si>
  <si>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</si>
  <si>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</si>
  <si>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</si>
  <si>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</si>
  <si>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</si>
  <si>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</si>
  <si>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</si>
  <si>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</si>
  <si>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</si>
  <si>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</si>
  <si>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</si>
  <si>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</si>
  <si>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</si>
  <si>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</si>
  <si>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</si>
  <si>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</si>
  <si>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</si>
  <si>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</si>
  <si>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</si>
  <si>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</si>
  <si>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</si>
  <si>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</si>
  <si>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</si>
  <si>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</si>
  <si>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</si>
  <si>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</si>
  <si>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</si>
  <si>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</si>
  <si>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</si>
  <si>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</si>
  <si>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</si>
  <si>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</si>
  <si>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</si>
  <si>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</si>
  <si>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</si>
  <si>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</si>
  <si>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</si>
  <si>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</si>
  <si>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</si>
  <si>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</si>
  <si>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</si>
  <si>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</si>
  <si>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</si>
  <si>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</si>
  <si>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</si>
  <si>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</si>
  <si>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</si>
  <si>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</si>
  <si>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</si>
  <si>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</si>
  <si>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</si>
  <si>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</si>
  <si>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</si>
  <si>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</si>
  <si>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</si>
  <si>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</si>
  <si>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</si>
  <si>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</si>
  <si>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</si>
  <si>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</si>
  <si>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</si>
  <si>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</si>
  <si>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</si>
  <si>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</si>
  <si>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</si>
  <si>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</si>
  <si>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</si>
  <si>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</si>
  <si>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</si>
  <si>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</si>
  <si>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</si>
  <si>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</si>
  <si>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</si>
  <si>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</si>
  <si>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</si>
  <si>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</si>
  <si>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</si>
  <si>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</si>
  <si>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</si>
  <si>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</si>
  <si>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</si>
  <si>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</si>
  <si>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</si>
  <si>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</si>
  <si>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</si>
  <si>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</si>
  <si>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</si>
  <si>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</si>
  <si>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</si>
  <si>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</si>
  <si>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</si>
  <si>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</si>
  <si>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</si>
  <si>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</si>
  <si>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</si>
  <si>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</si>
  <si>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</si>
  <si>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</si>
  <si>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</si>
  <si>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</si>
  <si>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</si>
  <si>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</si>
  <si>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</si>
  <si>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</si>
  <si>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</si>
  <si>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</si>
  <si>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</si>
  <si>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</si>
  <si>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</si>
  <si>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</si>
  <si>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</si>
  <si>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</si>
  <si>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</si>
  <si>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</si>
  <si>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</si>
  <si>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</si>
  <si>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</si>
  <si>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</si>
  <si>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</si>
  <si>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</si>
  <si>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</si>
  <si>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</si>
  <si>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</si>
  <si>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</si>
  <si>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</si>
  <si>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</si>
  <si>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</si>
  <si>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</si>
  <si>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</si>
  <si>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</si>
  <si>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</si>
  <si>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</si>
  <si>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</si>
  <si>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</si>
  <si>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</si>
  <si>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</si>
  <si>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</si>
  <si>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</si>
  <si>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</si>
  <si>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</si>
  <si>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</si>
  <si>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</si>
  <si>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</si>
  <si>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</si>
  <si>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</si>
  <si>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</si>
  <si>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</si>
  <si>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</si>
  <si>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</si>
  <si>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</si>
  <si>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</si>
  <si>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</si>
  <si>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</si>
  <si>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</si>
  <si>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</si>
  <si>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</si>
  <si>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</si>
  <si>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</si>
  <si>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</si>
  <si>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</si>
  <si>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</si>
  <si>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</si>
  <si>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</si>
  <si>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</si>
  <si>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</si>
  <si>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</si>
  <si>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</si>
  <si>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</si>
  <si>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</si>
  <si>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</si>
  <si>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</si>
  <si>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</si>
  <si>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</si>
  <si>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</si>
  <si>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</si>
  <si>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</si>
  <si>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</si>
  <si>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</si>
  <si>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</si>
  <si>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</si>
  <si>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</si>
  <si>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</si>
  <si>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</si>
  <si>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</si>
  <si>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</si>
  <si>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</si>
  <si>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</si>
  <si>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</si>
  <si>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</si>
  <si>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</si>
  <si>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</si>
  <si>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</si>
  <si>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</si>
  <si>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</si>
  <si>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</si>
  <si>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</si>
  <si>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</si>
  <si>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</si>
  <si>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</si>
  <si>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</si>
  <si>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</si>
  <si>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</si>
  <si>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</si>
  <si>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</si>
  <si>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</si>
  <si>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</si>
  <si>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</si>
  <si>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</si>
  <si>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</si>
  <si>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</si>
  <si>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</si>
  <si>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</si>
  <si>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</si>
  <si>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</si>
  <si>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</si>
  <si>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</si>
  <si>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</si>
  <si>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</si>
  <si>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</si>
  <si>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</si>
  <si>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</si>
  <si>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</si>
  <si>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</si>
  <si>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</si>
  <si>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</si>
  <si>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</si>
  <si>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</si>
  <si>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</si>
  <si>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</si>
  <si>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</si>
  <si>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</si>
  <si>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</si>
  <si>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</si>
  <si>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</si>
  <si>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</si>
  <si>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</si>
  <si>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</si>
  <si>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</si>
  <si>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</si>
  <si>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</si>
  <si>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</si>
  <si>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</si>
  <si>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</si>
  <si>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</si>
  <si>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</si>
  <si>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</si>
  <si>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</si>
  <si>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</si>
  <si>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</si>
  <si>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</si>
  <si>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</si>
  <si>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</si>
  <si>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</si>
  <si>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</si>
  <si>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</si>
  <si>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</si>
  <si>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</si>
  <si>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</si>
  <si>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</si>
  <si>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</si>
  <si>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</si>
  <si>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</si>
  <si>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</si>
  <si>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</si>
  <si>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</si>
  <si>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</si>
  <si>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</si>
  <si>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</si>
  <si>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</si>
  <si>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</si>
  <si>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</si>
  <si>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</si>
  <si>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</si>
  <si>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</si>
  <si>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</si>
  <si>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</si>
  <si>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</si>
  <si>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</si>
  <si>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</si>
  <si>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</si>
  <si>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</si>
  <si>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</si>
  <si>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</si>
  <si>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</si>
  <si>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</si>
  <si>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</si>
  <si>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</si>
  <si>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</si>
  <si>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</si>
  <si>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</si>
  <si>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</si>
  <si>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</si>
  <si>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</si>
  <si>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</si>
  <si>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</si>
  <si>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</si>
  <si>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</si>
  <si>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</si>
  <si>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</si>
  <si>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</si>
  <si>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</si>
  <si>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</si>
  <si>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</si>
  <si>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</si>
  <si>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</si>
  <si>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</si>
  <si>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</si>
  <si>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</si>
  <si>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</si>
  <si>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</si>
  <si>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</si>
  <si>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</si>
  <si>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</si>
  <si>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</si>
  <si>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</si>
  <si>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</si>
  <si>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</si>
  <si>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</si>
  <si>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</si>
  <si>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</si>
  <si>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</si>
  <si>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</si>
  <si>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</si>
  <si>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</si>
  <si>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</si>
  <si>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</si>
  <si>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</si>
  <si>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</si>
  <si>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</si>
  <si>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</si>
  <si>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</si>
  <si>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</si>
  <si>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</si>
  <si>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</si>
  <si>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</si>
  <si>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</si>
  <si>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</si>
  <si>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</si>
  <si>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</si>
  <si>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</si>
  <si>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</si>
  <si>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</si>
  <si>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</si>
  <si>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</si>
  <si>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</si>
  <si>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</si>
  <si>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</si>
  <si>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</si>
  <si>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</si>
  <si>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</si>
  <si>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</si>
  <si>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</si>
  <si>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</si>
  <si>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</si>
  <si>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</si>
  <si>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</si>
  <si>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</si>
  <si>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</si>
  <si>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</si>
  <si>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</si>
  <si>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</si>
  <si>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</si>
  <si>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</si>
  <si>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</si>
  <si>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</si>
  <si>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</si>
  <si>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</si>
  <si>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</si>
  <si>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</si>
  <si>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</si>
  <si>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</si>
  <si>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</si>
  <si>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</si>
  <si>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</si>
  <si>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</si>
  <si>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</si>
  <si>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</si>
  <si>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</si>
  <si>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</si>
  <si>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</si>
  <si>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</si>
  <si>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</si>
  <si>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</si>
  <si>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</si>
  <si>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</si>
  <si>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</si>
  <si>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</si>
  <si>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</si>
  <si>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</si>
  <si>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</si>
  <si>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</si>
  <si>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</si>
  <si>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</si>
  <si>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</si>
  <si>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</si>
  <si>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</si>
  <si>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</si>
  <si>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</si>
  <si>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</si>
  <si>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</si>
  <si>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</si>
  <si>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</si>
  <si>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</si>
  <si>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</si>
  <si>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</si>
  <si>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</si>
  <si>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</si>
  <si>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</si>
  <si>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</si>
  <si>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</si>
  <si>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</si>
  <si>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</si>
  <si>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</si>
  <si>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</si>
  <si>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</si>
  <si>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</si>
  <si>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</si>
  <si>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</si>
  <si>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</si>
  <si>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</si>
  <si>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</si>
  <si>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</si>
  <si>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</si>
  <si>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</si>
  <si>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</si>
  <si>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</si>
  <si>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</si>
  <si>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</si>
  <si>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</si>
  <si>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</si>
  <si>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</si>
  <si>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</si>
  <si>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</si>
  <si>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</si>
  <si>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</si>
  <si>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</si>
  <si>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</si>
  <si>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</si>
  <si>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</si>
  <si>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</si>
  <si>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</si>
  <si>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</si>
  <si>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</si>
  <si>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</si>
  <si>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</si>
  <si>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</si>
  <si>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</si>
  <si>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</si>
  <si>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</si>
  <si>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</si>
  <si>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</si>
  <si>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</si>
  <si>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</si>
  <si>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</si>
  <si>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</si>
  <si>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</si>
  <si>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</si>
  <si>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</si>
  <si>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</si>
  <si>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</si>
  <si>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</si>
  <si>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</si>
  <si>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</si>
  <si>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</si>
  <si>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</si>
  <si>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</si>
  <si>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</si>
  <si>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</si>
  <si>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</si>
  <si>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</si>
  <si>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</si>
  <si>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</si>
  <si>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</si>
  <si>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</si>
  <si>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</si>
  <si>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</si>
  <si>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</si>
  <si>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</si>
  <si>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</si>
  <si>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</si>
  <si>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</si>
  <si>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</si>
  <si>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</si>
  <si>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</si>
  <si>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</si>
  <si>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</si>
  <si>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</si>
  <si>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</si>
  <si>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</si>
  <si>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</si>
  <si>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</si>
  <si>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</si>
  <si>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</si>
  <si>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</si>
  <si>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</si>
  <si>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</si>
  <si>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</si>
  <si>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</si>
  <si>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</si>
  <si>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</si>
  <si>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</si>
  <si>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</si>
  <si>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</si>
  <si>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</si>
  <si>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</si>
  <si>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</si>
  <si>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</si>
  <si>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</si>
  <si>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</si>
  <si>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</si>
  <si>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</si>
  <si>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</si>
  <si>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</si>
  <si>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</si>
  <si>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</si>
  <si>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</si>
  <si>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</si>
  <si>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</si>
  <si>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</si>
  <si>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</si>
  <si>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</si>
  <si>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</si>
  <si>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</si>
  <si>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</si>
  <si>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</si>
  <si>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</si>
  <si>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</si>
  <si>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</si>
  <si>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</si>
  <si>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</si>
  <si>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</si>
  <si>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</si>
  <si>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</si>
  <si>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</si>
  <si>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</si>
  <si>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</si>
  <si>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</si>
  <si>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</si>
  <si>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</si>
  <si>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</si>
  <si>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</si>
  <si>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</si>
  <si>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</si>
  <si>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</si>
  <si>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</si>
  <si>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</si>
  <si>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</si>
  <si>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</si>
  <si>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</si>
  <si>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</si>
  <si>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</si>
  <si>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</si>
  <si>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</si>
  <si>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</si>
  <si>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</si>
  <si>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</si>
  <si>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</si>
  <si>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</si>
  <si>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</si>
  <si>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</si>
  <si>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</si>
  <si>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</si>
  <si>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</si>
  <si>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</si>
  <si>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</si>
  <si>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</si>
  <si>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</si>
  <si>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</si>
  <si>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</si>
  <si>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</si>
  <si>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</si>
  <si>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</si>
  <si>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</si>
  <si>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</si>
  <si>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</si>
  <si>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</si>
  <si>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</si>
  <si>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</si>
  <si>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</si>
  <si>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</si>
  <si>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</si>
  <si>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</si>
  <si>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</si>
  <si>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</si>
  <si>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</si>
  <si>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</si>
  <si>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</si>
  <si>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</si>
  <si>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</si>
  <si>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</si>
  <si>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</si>
  <si>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</si>
  <si>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</si>
  <si>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</si>
  <si>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</si>
  <si>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</si>
  <si>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</si>
  <si>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</si>
  <si>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</si>
  <si>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</si>
  <si>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</si>
  <si>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</si>
  <si>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</si>
  <si>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</si>
  <si>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</si>
  <si>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</si>
  <si>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</si>
  <si>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</si>
  <si>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</si>
  <si>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</si>
  <si>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</si>
  <si>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</si>
  <si>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</si>
  <si>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</si>
  <si>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</si>
  <si>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</si>
  <si>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</si>
  <si>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</si>
  <si>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</si>
  <si>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</si>
  <si>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</si>
  <si>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</si>
  <si>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</si>
  <si>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</si>
  <si>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</si>
  <si>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</si>
  <si>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</si>
  <si>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</si>
  <si>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</si>
  <si>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</si>
  <si>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</si>
  <si>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</si>
  <si>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</si>
  <si>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</si>
  <si>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</si>
  <si>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</si>
  <si>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</si>
  <si>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</si>
  <si>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</si>
  <si>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</si>
  <si>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</si>
  <si>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</si>
  <si>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</si>
  <si>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</si>
  <si>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</si>
  <si>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</si>
  <si>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</si>
  <si>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</si>
  <si>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</si>
  <si>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</si>
  <si>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</si>
  <si>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</si>
  <si>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</si>
  <si>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</si>
  <si>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</si>
  <si>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</si>
  <si>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</si>
  <si>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</si>
  <si>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</si>
  <si>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</si>
  <si>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</si>
  <si>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</si>
  <si>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</si>
  <si>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</si>
  <si>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</si>
  <si>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</si>
  <si>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</si>
  <si>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</si>
  <si>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</si>
  <si>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</si>
  <si>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</si>
  <si>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</si>
  <si>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</si>
  <si>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</si>
  <si>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</si>
  <si>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</si>
  <si>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</si>
  <si>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</si>
  <si>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</si>
  <si>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</si>
  <si>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</si>
  <si>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</si>
  <si>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</si>
  <si>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</si>
  <si>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</si>
  <si>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</si>
  <si>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</si>
  <si>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</si>
  <si>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</si>
  <si>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</si>
  <si>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</si>
  <si>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</si>
  <si>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</si>
  <si>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</si>
  <si>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</si>
  <si>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</si>
  <si>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</si>
  <si>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</si>
  <si>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</si>
  <si>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</si>
  <si>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</si>
  <si>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</si>
  <si>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</si>
  <si>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</si>
  <si>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</si>
  <si>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</si>
  <si>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</si>
  <si>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</si>
  <si>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</si>
  <si>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</si>
  <si>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</si>
  <si>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</si>
  <si>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</si>
  <si>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</si>
  <si>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</si>
  <si>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</si>
  <si>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</si>
  <si>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</si>
  <si>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</si>
  <si>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</si>
  <si>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</si>
  <si>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</si>
  <si>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</si>
  <si>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</si>
  <si>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</si>
  <si>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</si>
  <si>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</si>
  <si>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</si>
  <si>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</si>
  <si>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</si>
  <si>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</si>
  <si>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</si>
  <si>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</si>
  <si>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</si>
  <si>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</si>
  <si>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</si>
  <si>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</si>
  <si>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</si>
  <si>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</si>
  <si>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</si>
  <si>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</si>
  <si>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</si>
  <si>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</si>
  <si>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</si>
  <si>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</si>
  <si>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</si>
  <si>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</si>
  <si>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</si>
  <si>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</si>
  <si>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</si>
  <si>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</si>
  <si>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</si>
  <si>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</si>
  <si>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</si>
  <si>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</si>
  <si>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</si>
  <si>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</si>
  <si>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</si>
  <si>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</si>
  <si>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</si>
  <si>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</si>
  <si>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</si>
  <si>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</si>
  <si>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</si>
  <si>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</si>
  <si>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</si>
  <si>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</si>
  <si>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</si>
  <si>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</si>
  <si>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</si>
  <si>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</si>
  <si>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</si>
  <si>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</si>
  <si>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</si>
  <si>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</si>
  <si>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</si>
  <si>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</si>
  <si>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</si>
  <si>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</si>
  <si>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</si>
  <si>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</si>
  <si>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</si>
  <si>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</si>
  <si>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</si>
  <si>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</si>
  <si>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</si>
  <si>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</si>
  <si>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</si>
  <si>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</si>
  <si>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</si>
  <si>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</si>
  <si>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</si>
  <si>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</si>
  <si>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</si>
  <si>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</si>
  <si>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</si>
  <si>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</si>
  <si>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</si>
  <si>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</si>
  <si>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</si>
  <si>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</si>
  <si>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</si>
  <si>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</si>
  <si>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</si>
  <si>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</si>
  <si>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</si>
  <si>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</si>
  <si>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</si>
  <si>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</si>
  <si>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</si>
  <si>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</si>
  <si>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</si>
  <si>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</si>
  <si>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</si>
  <si>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</si>
  <si>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</si>
  <si>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</si>
  <si>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</si>
  <si>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</si>
  <si>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</si>
  <si>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</si>
  <si>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</si>
  <si>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</si>
  <si>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</si>
  <si>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</si>
  <si>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</si>
  <si>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</si>
  <si>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</si>
  <si>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</si>
  <si>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</si>
  <si>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</si>
  <si>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</si>
  <si>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</si>
  <si>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</si>
  <si>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</si>
  <si>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</si>
  <si>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</si>
  <si>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</si>
  <si>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</si>
  <si>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</si>
  <si>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</si>
  <si>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</si>
  <si>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</si>
  <si>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</si>
  <si>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</si>
  <si>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</si>
  <si>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</si>
  <si>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</si>
  <si>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</si>
  <si>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</si>
  <si>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</si>
  <si>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</si>
  <si>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</si>
  <si>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</si>
  <si>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</si>
  <si>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</si>
  <si>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</si>
  <si>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</si>
  <si>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</si>
  <si>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</si>
  <si>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</si>
  <si>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</si>
  <si>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</si>
  <si>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</si>
  <si>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</si>
  <si>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</si>
  <si>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</si>
  <si>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</si>
  <si>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</si>
  <si>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</si>
  <si>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</si>
  <si>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</si>
  <si>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</si>
  <si>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</si>
  <si>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</si>
  <si>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</si>
  <si>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</si>
  <si>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</si>
  <si>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</si>
  <si>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</si>
  <si>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</si>
  <si>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</si>
  <si>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</si>
  <si>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</si>
  <si>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</si>
  <si>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</si>
  <si>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</si>
  <si>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</si>
  <si>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</si>
  <si>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</si>
  <si>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</si>
  <si>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</si>
  <si>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</si>
  <si>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</si>
  <si>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</si>
  <si>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</si>
  <si>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</si>
  <si>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</si>
  <si>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</si>
  <si>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</si>
  <si>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</si>
  <si>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</si>
  <si>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</si>
  <si>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</si>
  <si>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</si>
  <si>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</si>
  <si>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</si>
  <si>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</si>
  <si>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</si>
  <si>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</si>
  <si>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</si>
  <si>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</si>
  <si>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</si>
  <si>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</si>
  <si>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</si>
  <si>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</si>
  <si>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</si>
  <si>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</si>
  <si>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</si>
  <si>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</si>
  <si>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</si>
  <si>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</si>
  <si>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</si>
  <si>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</si>
  <si>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</si>
  <si>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</si>
  <si>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</si>
  <si>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</si>
  <si>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</si>
  <si>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</si>
  <si>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</si>
  <si>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</si>
  <si>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</si>
  <si>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</si>
  <si>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</si>
  <si>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</si>
  <si>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</si>
  <si>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</si>
  <si>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</si>
  <si>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</si>
  <si>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</si>
  <si>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</si>
  <si>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</si>
  <si>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</si>
  <si>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</si>
  <si>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</si>
  <si>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</si>
  <si>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</si>
  <si>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</si>
  <si>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</si>
  <si>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</si>
  <si>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</si>
  <si>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</si>
  <si>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</si>
  <si>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</si>
  <si>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</si>
  <si>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</si>
  <si>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</si>
  <si>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</si>
  <si>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</si>
  <si>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</si>
  <si>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</si>
  <si>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</si>
  <si>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</si>
  <si>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</si>
  <si>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</si>
  <si>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</si>
  <si>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</si>
  <si>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</si>
  <si>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</si>
  <si>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</si>
  <si>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</si>
  <si>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</si>
  <si>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</si>
  <si>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</si>
  <si>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</si>
  <si>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</si>
  <si>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</si>
  <si>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</si>
  <si>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</si>
  <si>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</si>
  <si>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</si>
  <si>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</si>
  <si>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</si>
  <si>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</si>
  <si>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</si>
  <si>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</si>
  <si>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</si>
  <si>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</si>
  <si>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</si>
  <si>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</si>
  <si>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</si>
  <si>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</si>
  <si>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</si>
  <si>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</si>
  <si>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</si>
  <si>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</si>
  <si>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</si>
  <si>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</si>
  <si>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</si>
  <si>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</si>
  <si>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</si>
  <si>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</si>
  <si>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</si>
  <si>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</si>
  <si>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</si>
  <si>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</si>
  <si>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</si>
  <si>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</si>
  <si>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</si>
  <si>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</si>
  <si>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</si>
  <si>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</si>
  <si>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</si>
  <si>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</si>
  <si>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</si>
  <si>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</si>
  <si>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</si>
  <si>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</si>
  <si>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</si>
  <si>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</si>
  <si>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</si>
  <si>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</si>
  <si>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</si>
  <si>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</si>
  <si>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</si>
  <si>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</si>
  <si>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</si>
  <si>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</si>
  <si>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</si>
  <si>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</si>
  <si>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</si>
  <si>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</si>
  <si>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</si>
  <si>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</si>
  <si>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</si>
  <si>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</si>
  <si>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</si>
  <si>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</si>
  <si>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</si>
  <si>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</si>
  <si>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</si>
  <si>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</si>
  <si>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</si>
  <si>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</si>
  <si>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</si>
  <si>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</si>
  <si>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</si>
  <si>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</si>
  <si>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</si>
  <si>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</si>
  <si>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</si>
  <si>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</si>
  <si>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</si>
  <si>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</si>
  <si>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</si>
  <si>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</si>
  <si>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</si>
  <si>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</si>
  <si>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</si>
  <si>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</si>
  <si>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</si>
  <si>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</si>
  <si>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</si>
  <si>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</si>
  <si>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</si>
  <si>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</si>
  <si>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</si>
  <si>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</si>
  <si>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</si>
  <si>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</si>
  <si>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</si>
  <si>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</si>
  <si>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</si>
  <si>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</si>
  <si>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</si>
  <si>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</si>
  <si>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</si>
  <si>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</si>
  <si>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</si>
  <si>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</si>
  <si>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</si>
  <si>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</si>
  <si>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</si>
  <si>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</si>
  <si>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</si>
  <si>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</si>
  <si>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</si>
  <si>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</si>
  <si>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</si>
  <si>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</si>
  <si>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</si>
  <si>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</si>
  <si>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</si>
  <si>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</si>
  <si>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</si>
  <si>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</si>
  <si>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</si>
  <si>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</si>
  <si>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</si>
  <si>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</si>
  <si>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</si>
  <si>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</si>
  <si>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</si>
  <si>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</si>
  <si>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</si>
  <si>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</si>
  <si>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</si>
  <si>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</si>
  <si>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</si>
  <si>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</si>
  <si>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</si>
  <si>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</si>
  <si>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</si>
  <si>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</si>
  <si>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</si>
  <si>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</si>
  <si>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</si>
  <si>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</si>
  <si>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</si>
  <si>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</si>
  <si>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</si>
  <si>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</si>
  <si>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</si>
  <si>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</si>
  <si>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</si>
  <si>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</si>
  <si>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</si>
  <si>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</si>
  <si>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</si>
  <si>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</si>
  <si>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</si>
  <si>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</si>
  <si>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</si>
  <si>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</si>
  <si>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</si>
  <si>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</si>
  <si>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</si>
  <si>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</si>
  <si>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</si>
  <si>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</si>
  <si>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</si>
  <si>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</si>
  <si>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</si>
  <si>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</si>
  <si>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</si>
  <si>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</si>
  <si>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</si>
  <si>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</si>
  <si>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</si>
  <si>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</si>
  <si>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</si>
  <si>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</si>
  <si>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</si>
  <si>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</si>
  <si>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</si>
  <si>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</si>
  <si>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</si>
  <si>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</si>
  <si>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</si>
  <si>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</si>
  <si>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</si>
  <si>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</si>
  <si>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</si>
  <si>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</si>
  <si>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</si>
  <si>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</si>
  <si>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</si>
  <si>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</si>
  <si>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</si>
  <si>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</si>
  <si>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</si>
  <si>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</si>
  <si>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</si>
  <si>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</si>
  <si>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</si>
  <si>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</si>
  <si>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</si>
  <si>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</si>
  <si>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</si>
  <si>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</si>
  <si>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</si>
  <si>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</si>
  <si>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</si>
  <si>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</si>
  <si>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</si>
  <si>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</si>
  <si>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</si>
  <si>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</si>
  <si>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</si>
  <si>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</si>
  <si>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</si>
  <si>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</si>
  <si>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</si>
  <si>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</si>
  <si>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</si>
  <si>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</si>
  <si>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</si>
  <si>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</si>
  <si>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</si>
  <si>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</si>
  <si>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</si>
  <si>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</si>
  <si>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</si>
  <si>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</si>
  <si>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</si>
  <si>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</si>
  <si>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</si>
  <si>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</si>
  <si>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</si>
  <si>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</si>
  <si>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</si>
  <si>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</si>
  <si>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</si>
  <si>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</si>
  <si>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</si>
  <si>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</si>
  <si>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</si>
  <si>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</si>
  <si>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</si>
  <si>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</si>
  <si>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</si>
  <si>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</si>
  <si>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</si>
  <si>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</si>
  <si>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</si>
  <si>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</si>
  <si>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</si>
  <si>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</si>
  <si>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</si>
  <si>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</si>
  <si>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</si>
  <si>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</si>
  <si>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</si>
  <si>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</si>
  <si>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</si>
  <si>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</si>
  <si>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</si>
  <si>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</si>
  <si>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</si>
  <si>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</si>
  <si>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</si>
  <si>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</si>
  <si>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</si>
  <si>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</si>
  <si>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</si>
  <si>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</si>
  <si>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</si>
  <si>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</si>
  <si>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</si>
  <si>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</si>
  <si>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</si>
  <si>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</si>
  <si>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</si>
  <si>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</si>
  <si>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</si>
  <si>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</si>
  <si>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</si>
  <si>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</si>
  <si>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</si>
  <si>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</si>
  <si>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</si>
  <si>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</si>
  <si>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</si>
  <si>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</si>
  <si>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</si>
  <si>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</si>
  <si>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</si>
  <si>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</si>
  <si>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</si>
  <si>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</si>
  <si>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</si>
  <si>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</si>
  <si>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</si>
  <si>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</si>
  <si>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</si>
  <si>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</si>
  <si>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</si>
  <si>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</si>
  <si>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</si>
  <si>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</si>
  <si>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</si>
  <si>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</si>
  <si>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</si>
  <si>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</si>
  <si>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</si>
  <si>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</si>
  <si>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</si>
  <si>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</si>
  <si>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</si>
  <si>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</si>
  <si>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</si>
  <si>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</si>
  <si>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</si>
  <si>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</si>
  <si>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</si>
  <si>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</si>
  <si>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</si>
  <si>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</si>
  <si>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</si>
  <si>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</si>
  <si>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</si>
  <si>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</si>
  <si>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</si>
  <si>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</si>
  <si>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</si>
  <si>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</si>
  <si>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</si>
  <si>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</si>
  <si>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</si>
  <si>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</si>
  <si>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</si>
  <si>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</si>
  <si>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</si>
  <si>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</si>
  <si>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</si>
  <si>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</si>
  <si>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</si>
  <si>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</si>
  <si>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</si>
  <si>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</si>
  <si>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</si>
  <si>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</si>
  <si>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</si>
  <si>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</si>
  <si>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</si>
  <si>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</si>
  <si>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</si>
  <si>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</si>
  <si>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</si>
  <si>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</si>
  <si>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</si>
  <si>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</si>
  <si>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</si>
  <si>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</si>
  <si>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</si>
  <si>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</si>
  <si>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</si>
  <si>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</si>
  <si>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</si>
  <si>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</si>
  <si>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</si>
  <si>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</si>
  <si>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</si>
  <si>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</si>
  <si>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</si>
  <si>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</si>
  <si>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</si>
  <si>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</si>
  <si>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</si>
  <si>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</si>
  <si>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</si>
  <si>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</si>
  <si>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</si>
  <si>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</si>
  <si>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</si>
  <si>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</si>
  <si>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</si>
  <si>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</si>
  <si>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</si>
  <si>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</si>
  <si>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</si>
  <si>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</si>
  <si>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</si>
  <si>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</si>
  <si>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</si>
  <si>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</si>
  <si>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</si>
  <si>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</si>
  <si>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</si>
  <si>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</si>
  <si>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</si>
  <si>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</si>
  <si>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</si>
  <si>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</si>
  <si>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</si>
  <si>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</si>
  <si>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</si>
  <si>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</si>
  <si>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</si>
  <si>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</si>
  <si>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</si>
  <si>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</si>
  <si>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</si>
  <si>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</si>
  <si>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</si>
  <si>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</si>
  <si>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</si>
  <si>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</si>
  <si>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</si>
  <si>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</si>
  <si>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</si>
  <si>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</si>
  <si>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</si>
  <si>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</si>
  <si>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</si>
  <si>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</si>
  <si>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</si>
  <si>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</si>
  <si>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</si>
  <si>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</si>
  <si>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</si>
  <si>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</si>
  <si>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</si>
  <si>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</si>
  <si>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</si>
  <si>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</si>
  <si>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</si>
  <si>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</si>
  <si>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</si>
  <si>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</si>
  <si>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</si>
  <si>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</si>
  <si>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</si>
  <si>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</si>
  <si>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</si>
  <si>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</si>
  <si>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</si>
  <si>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</si>
  <si>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</si>
  <si>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</si>
  <si>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</si>
  <si>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</si>
  <si>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</si>
  <si>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</si>
  <si>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</si>
  <si>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</si>
  <si>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</si>
  <si>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</si>
  <si>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</si>
  <si>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</si>
  <si>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</si>
  <si>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</si>
  <si>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</si>
  <si>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</si>
  <si>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</si>
  <si>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</si>
  <si>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</si>
  <si>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</si>
  <si>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</si>
  <si>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</si>
  <si>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</si>
  <si>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</si>
  <si>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</si>
  <si>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</si>
  <si>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</si>
  <si>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</si>
  <si>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</si>
  <si>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</si>
  <si>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</si>
  <si>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</si>
  <si>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</si>
  <si>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</si>
  <si>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</si>
  <si>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</si>
  <si>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</si>
  <si>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</si>
  <si>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</si>
  <si>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</si>
  <si>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</si>
  <si>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</si>
  <si>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</si>
  <si>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</si>
  <si>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</si>
  <si>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</si>
  <si>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</si>
  <si>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</si>
  <si>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</si>
  <si>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</si>
  <si>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</si>
  <si>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</si>
  <si>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</si>
  <si>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</si>
  <si>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</si>
  <si>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</si>
  <si>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</si>
  <si>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</si>
  <si>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</si>
  <si>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</si>
  <si>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</si>
  <si>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</si>
  <si>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</si>
  <si>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</si>
  <si>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</si>
  <si>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</si>
  <si>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</si>
  <si>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</si>
  <si>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</si>
  <si>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</si>
  <si>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</si>
  <si>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</si>
  <si>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</si>
  <si>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</si>
  <si>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</si>
  <si>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</si>
  <si>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</si>
  <si>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</si>
  <si>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</si>
  <si>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</si>
  <si>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</si>
  <si>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</si>
  <si>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</si>
  <si>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</si>
  <si>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</si>
  <si>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</si>
  <si>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</si>
  <si>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</si>
  <si>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</si>
  <si>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</si>
  <si>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</si>
  <si>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</si>
  <si>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</si>
  <si>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</si>
  <si>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</si>
  <si>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</si>
  <si>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</si>
  <si>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</si>
  <si>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</si>
  <si>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</si>
  <si>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</si>
  <si>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</si>
  <si>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</si>
  <si>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</si>
  <si>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</si>
  <si>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</si>
  <si>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</si>
  <si>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</si>
  <si>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</si>
  <si>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</si>
  <si>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</si>
  <si>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</si>
  <si>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</si>
  <si>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</si>
  <si>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</si>
  <si>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</si>
  <si>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</si>
  <si>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</si>
  <si>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</si>
  <si>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</si>
  <si>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</si>
  <si>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</si>
  <si>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</si>
  <si>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</si>
  <si>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</si>
  <si>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</si>
  <si>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</si>
  <si>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</si>
  <si>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</si>
  <si>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</si>
  <si>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</si>
  <si>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</si>
  <si>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</si>
  <si>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</si>
  <si>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</si>
  <si>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</si>
  <si>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</si>
  <si>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</si>
  <si>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</si>
  <si>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</si>
  <si>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</si>
  <si>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</si>
  <si>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</si>
  <si>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</si>
  <si>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</si>
  <si>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</si>
  <si>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</si>
  <si>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</si>
  <si>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</si>
  <si>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</si>
  <si>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</si>
  <si>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</si>
  <si>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</si>
  <si>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</si>
  <si>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</si>
  <si>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</si>
  <si>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</si>
  <si>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</si>
  <si>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</si>
  <si>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</si>
  <si>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</si>
  <si>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</si>
  <si>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</si>
  <si>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</si>
  <si>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</si>
  <si>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</si>
  <si>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</si>
  <si>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</si>
  <si>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</si>
  <si>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</si>
  <si>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</si>
  <si>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</si>
  <si>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</si>
  <si>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</si>
  <si>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</si>
  <si>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</si>
  <si>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</si>
  <si>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</si>
  <si>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</si>
  <si>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</si>
  <si>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</si>
  <si>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</si>
  <si>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</si>
  <si>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</si>
  <si>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</si>
  <si>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</si>
  <si>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</si>
  <si>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</si>
  <si>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</si>
  <si>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</si>
  <si>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</si>
  <si>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</si>
  <si>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</si>
  <si>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</si>
  <si>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</si>
  <si>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</si>
  <si>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</si>
  <si>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</si>
  <si>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</si>
  <si>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</si>
  <si>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</si>
  <si>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</si>
  <si>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</si>
  <si>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</si>
  <si>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</si>
  <si>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</si>
  <si>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</si>
  <si>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</si>
  <si>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</si>
  <si>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</si>
  <si>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</si>
  <si>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</si>
  <si>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</si>
  <si>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</si>
  <si>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</si>
  <si>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</si>
  <si>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</si>
  <si>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</si>
  <si>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</si>
  <si>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</si>
  <si>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</si>
  <si>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</si>
  <si>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</si>
  <si>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</si>
  <si>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</si>
  <si>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</si>
  <si>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</si>
  <si>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</si>
  <si>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</si>
  <si>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</si>
  <si>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</si>
  <si>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</si>
  <si>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</si>
  <si>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</si>
  <si>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</si>
  <si>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</si>
  <si>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</si>
  <si>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</si>
  <si>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</si>
  <si>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</si>
  <si>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</si>
  <si>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</si>
  <si>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</si>
  <si>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</si>
  <si>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</si>
  <si>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</si>
  <si>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</si>
  <si>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</si>
  <si>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</si>
  <si>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</si>
  <si>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</si>
  <si>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</si>
  <si>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</si>
  <si>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</si>
  <si>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</si>
  <si>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</si>
  <si>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</si>
  <si>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</si>
  <si>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</si>
  <si>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</si>
  <si>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</si>
  <si>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</si>
  <si>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</si>
  <si>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</si>
  <si>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</si>
  <si>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</si>
  <si>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</si>
  <si>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</si>
  <si>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</si>
  <si>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</si>
  <si>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</si>
  <si>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</si>
  <si>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</si>
  <si>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</si>
  <si>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</si>
  <si>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</si>
  <si>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</si>
  <si>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</si>
  <si>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</si>
  <si>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</si>
  <si>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</si>
  <si>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</si>
  <si>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</si>
  <si>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</si>
  <si>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</si>
  <si>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</si>
  <si>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</si>
  <si>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</si>
  <si>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</si>
  <si>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</si>
  <si>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</si>
  <si>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</si>
  <si>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</si>
  <si>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</si>
  <si>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</si>
  <si>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</si>
  <si>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</si>
  <si>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</si>
  <si>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</si>
  <si>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</si>
  <si>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</si>
  <si>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</si>
  <si>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</si>
  <si>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</si>
  <si>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</si>
  <si>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</si>
  <si>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</si>
  <si>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</si>
  <si>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</si>
  <si>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</si>
  <si>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</si>
  <si>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</si>
  <si>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</si>
  <si>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</si>
  <si>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</si>
  <si>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</si>
  <si>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</si>
  <si>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</si>
  <si>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</si>
  <si>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</si>
  <si>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</si>
  <si>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</si>
  <si>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</si>
  <si>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</si>
  <si>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</si>
  <si>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</si>
  <si>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</si>
  <si>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</si>
  <si>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</si>
  <si>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</si>
  <si>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</si>
  <si>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</si>
  <si>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</si>
  <si>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</si>
  <si>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</si>
  <si>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</si>
  <si>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</si>
  <si>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</si>
  <si>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</si>
  <si>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</si>
  <si>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</si>
  <si>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</si>
  <si>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</si>
  <si>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</si>
  <si>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</si>
  <si>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</si>
  <si>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</si>
  <si>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</si>
  <si>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</si>
  <si>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</si>
  <si>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</si>
  <si>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</si>
  <si>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</si>
  <si>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</si>
  <si>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</si>
  <si>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</si>
  <si>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</si>
  <si>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</si>
  <si>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</si>
  <si>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</si>
  <si>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</si>
  <si>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</si>
  <si>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</si>
  <si>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</si>
  <si>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</si>
  <si>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</si>
  <si>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</si>
  <si>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</si>
  <si>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</si>
  <si>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</si>
  <si>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</si>
  <si>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</si>
  <si>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</si>
  <si>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</si>
  <si>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</si>
  <si>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</si>
  <si>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</si>
  <si>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</si>
  <si>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</si>
  <si>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</si>
  <si>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</si>
  <si>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</si>
  <si>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</si>
  <si>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</si>
  <si>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</si>
  <si>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</si>
  <si>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</si>
  <si>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</si>
  <si>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28455968</t>
  </si>
  <si>
    <t>ООО "Новое строительство"</t>
  </si>
  <si>
    <t>7709563302</t>
  </si>
  <si>
    <t>770901001</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</si>
  <si>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</si>
  <si>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</si>
  <si>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</si>
  <si>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</si>
  <si>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</si>
  <si>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</si>
  <si>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</si>
  <si>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</si>
  <si>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</si>
  <si>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</si>
  <si>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</si>
  <si>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</si>
  <si>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</si>
  <si>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</si>
  <si>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</si>
  <si>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</si>
  <si>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</si>
  <si>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</si>
  <si>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</si>
  <si>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</si>
  <si>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</si>
  <si>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</si>
  <si>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</si>
  <si>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</si>
  <si>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</si>
  <si>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26357547</t>
  </si>
  <si>
    <t>ООО "РЕСУРСЭНЕРГОКОМ"</t>
  </si>
  <si>
    <t>5001036552</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</si>
  <si>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</si>
  <si>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</si>
  <si>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</si>
  <si>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</si>
  <si>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</si>
  <si>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</si>
  <si>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</si>
  <si>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</si>
  <si>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</si>
  <si>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</si>
  <si>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</si>
  <si>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</si>
  <si>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</si>
  <si>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</si>
  <si>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</si>
  <si>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</si>
  <si>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</si>
  <si>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</si>
  <si>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</si>
  <si>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</si>
  <si>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</si>
  <si>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</si>
  <si>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</si>
  <si>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</si>
  <si>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</si>
  <si>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</si>
  <si>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</si>
  <si>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</si>
  <si>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</si>
  <si>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</si>
  <si>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</si>
  <si>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</si>
  <si>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</si>
  <si>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</si>
  <si>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</si>
  <si>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</si>
  <si>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</si>
  <si>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</si>
  <si>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</si>
  <si>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</si>
  <si>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</si>
  <si>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</si>
  <si>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</si>
  <si>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</si>
  <si>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</si>
  <si>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</si>
  <si>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</si>
  <si>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</si>
  <si>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</si>
  <si>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</si>
  <si>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</si>
  <si>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</si>
  <si>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</si>
  <si>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</si>
  <si>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</si>
  <si>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</si>
  <si>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</si>
  <si>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</si>
  <si>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</si>
  <si>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</si>
  <si>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</si>
  <si>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</si>
  <si>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</si>
  <si>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</si>
  <si>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</si>
  <si>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</si>
  <si>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</si>
  <si>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</si>
  <si>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</si>
  <si>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</si>
  <si>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</si>
  <si>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</si>
  <si>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</si>
  <si>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</si>
  <si>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</si>
  <si>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</si>
  <si>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</si>
  <si>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</si>
  <si>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</si>
  <si>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</si>
  <si>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</si>
  <si>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</si>
  <si>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</si>
  <si>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</si>
  <si>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</si>
  <si>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</si>
  <si>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</si>
  <si>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</si>
  <si>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</si>
  <si>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</si>
  <si>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</si>
  <si>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</si>
  <si>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</si>
  <si>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</si>
  <si>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</si>
  <si>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</si>
  <si>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</si>
  <si>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</si>
  <si>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</si>
  <si>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</si>
  <si>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</si>
  <si>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</si>
  <si>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</si>
  <si>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</si>
  <si>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</si>
  <si>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</si>
  <si>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</si>
  <si>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</si>
  <si>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</si>
  <si>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</si>
  <si>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</si>
  <si>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</si>
  <si>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</si>
  <si>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</si>
  <si>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</si>
  <si>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</si>
  <si>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</si>
  <si>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</si>
  <si>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</si>
  <si>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</si>
  <si>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</si>
  <si>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</si>
  <si>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20-06-2025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</si>
  <si>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</si>
  <si>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</si>
  <si>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</si>
  <si>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</si>
  <si>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</si>
  <si>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</si>
  <si>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</si>
  <si>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</si>
  <si>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</si>
  <si>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</si>
  <si>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</si>
  <si>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</si>
  <si>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</si>
  <si>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</si>
  <si>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</si>
  <si>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</si>
  <si>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</si>
  <si>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</si>
  <si>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</si>
  <si>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</si>
  <si>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</si>
  <si>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</si>
  <si>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</si>
  <si>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</si>
  <si>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</si>
  <si>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</si>
  <si>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</si>
  <si>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</si>
  <si>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</si>
  <si>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</si>
  <si>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</si>
  <si>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</si>
  <si>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</si>
  <si>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</si>
  <si>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</si>
  <si>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</si>
  <si>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</si>
  <si>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</si>
  <si>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</si>
  <si>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</si>
  <si>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</si>
  <si>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</si>
  <si>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</si>
  <si>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02-06-2025 00:00:00</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</si>
  <si>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</si>
  <si>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</si>
  <si>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</si>
  <si>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</si>
  <si>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</si>
  <si>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</si>
  <si>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</si>
  <si>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</si>
  <si>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</si>
  <si>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</si>
  <si>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</si>
  <si>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</si>
  <si>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</si>
  <si>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</si>
  <si>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</si>
  <si>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</si>
  <si>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</si>
  <si>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</si>
  <si>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</si>
  <si>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</si>
  <si>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</si>
  <si>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</si>
  <si>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</si>
  <si>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</si>
  <si>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</si>
  <si>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</si>
  <si>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</si>
  <si>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</si>
  <si>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</si>
  <si>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</si>
  <si>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</si>
  <si>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</si>
  <si>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</si>
  <si>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</si>
  <si>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</si>
  <si>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</si>
  <si>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</si>
  <si>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</si>
  <si>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</si>
  <si>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</si>
  <si>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</si>
  <si>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</si>
  <si>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</si>
  <si>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</si>
  <si>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</si>
  <si>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</si>
  <si>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</si>
  <si>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</si>
  <si>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</si>
  <si>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</si>
  <si>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</si>
  <si>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</si>
  <si>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</si>
  <si>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</si>
  <si>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</si>
  <si>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</si>
  <si>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</si>
  <si>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</si>
  <si>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</si>
  <si>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</si>
  <si>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</si>
  <si>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</si>
  <si>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</si>
  <si>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</si>
  <si>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</si>
  <si>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</si>
  <si>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</si>
  <si>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</si>
  <si>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</si>
  <si>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</si>
  <si>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</si>
  <si>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</si>
  <si>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</si>
  <si>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</si>
  <si>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</si>
  <si>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</si>
  <si>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</si>
  <si>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</si>
  <si>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</si>
  <si>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</si>
  <si>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</si>
  <si>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</si>
  <si>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</si>
  <si>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</si>
  <si>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</si>
  <si>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</si>
  <si>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</si>
  <si>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</si>
  <si>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</si>
  <si>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</si>
  <si>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</si>
  <si>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</si>
  <si>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</si>
  <si>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</si>
  <si>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</si>
  <si>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</si>
  <si>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</si>
  <si>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</si>
  <si>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</si>
  <si>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</si>
  <si>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</si>
  <si>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</si>
  <si>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</si>
  <si>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</si>
  <si>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</si>
  <si>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</si>
  <si>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</si>
  <si>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</si>
  <si>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</si>
  <si>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</si>
  <si>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</si>
  <si>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</si>
  <si>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</si>
  <si>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</si>
  <si>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</si>
  <si>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</si>
  <si>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</si>
  <si>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</si>
  <si>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</si>
  <si>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</si>
  <si>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</si>
  <si>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</si>
  <si>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</si>
  <si>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</si>
  <si>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</si>
  <si>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</si>
  <si>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</si>
  <si>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</si>
  <si>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</si>
  <si>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</si>
  <si>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</si>
  <si>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</si>
  <si>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</si>
  <si>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</si>
  <si>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</si>
  <si>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</si>
  <si>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</si>
  <si>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</si>
  <si>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</si>
  <si>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</si>
  <si>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</si>
  <si>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</si>
  <si>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</si>
  <si>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</si>
  <si>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</si>
  <si>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</si>
  <si>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</si>
  <si>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</si>
  <si>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</si>
  <si>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</si>
  <si>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</si>
  <si>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</si>
  <si>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</si>
  <si>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</si>
  <si>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</si>
  <si>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</si>
  <si>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</si>
  <si>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</si>
  <si>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</si>
  <si>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</si>
  <si>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</si>
  <si>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</si>
  <si>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</si>
  <si>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</si>
  <si>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</si>
  <si>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</si>
  <si>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</si>
  <si>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</si>
  <si>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</si>
  <si>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</si>
  <si>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</si>
  <si>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</si>
  <si>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</si>
  <si>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</si>
  <si>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</si>
  <si>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</si>
  <si>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</si>
  <si>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</si>
  <si>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</si>
  <si>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</si>
  <si>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</si>
  <si>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</si>
  <si>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</si>
  <si>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</si>
  <si>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</si>
  <si>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</si>
  <si>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</si>
  <si>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</si>
  <si>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</si>
  <si>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</si>
  <si>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</si>
  <si>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</si>
  <si>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</si>
  <si>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</si>
  <si>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</si>
  <si>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</si>
  <si>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</si>
  <si>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</si>
  <si>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</si>
  <si>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</si>
  <si>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</si>
  <si>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</si>
  <si>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</si>
  <si>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</si>
  <si>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</si>
  <si>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</si>
  <si>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</si>
  <si>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</si>
  <si>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</si>
  <si>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</si>
  <si>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</si>
  <si>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</si>
  <si>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</si>
  <si>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</si>
  <si>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</si>
  <si>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</si>
  <si>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</si>
  <si>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</si>
  <si>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</si>
  <si>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</si>
  <si>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</si>
  <si>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</si>
  <si>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</si>
  <si>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</si>
  <si>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</si>
  <si>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</si>
  <si>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</si>
  <si>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</si>
  <si>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</si>
  <si>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</si>
  <si>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</si>
  <si>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</si>
  <si>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</si>
  <si>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</si>
  <si>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</si>
  <si>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</si>
  <si>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</si>
  <si>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</si>
  <si>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</si>
  <si>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</si>
  <si>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</si>
  <si>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</si>
  <si>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</si>
  <si>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</si>
  <si>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</si>
  <si>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</si>
  <si>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</si>
  <si>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</si>
  <si>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</si>
  <si>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</si>
  <si>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</si>
  <si>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</si>
  <si>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</si>
  <si>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</si>
  <si>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</si>
  <si>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</si>
  <si>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</si>
  <si>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</si>
  <si>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</si>
  <si>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</si>
  <si>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</si>
  <si>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</si>
  <si>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</si>
  <si>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</si>
  <si>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</si>
  <si>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</si>
  <si>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</si>
  <si>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</si>
  <si>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</si>
  <si>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</si>
  <si>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</si>
  <si>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</si>
  <si>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</si>
  <si>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</si>
  <si>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</si>
  <si>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</si>
  <si>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</si>
  <si>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</si>
  <si>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</si>
  <si>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</si>
  <si>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</si>
  <si>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</si>
  <si>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</si>
  <si>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</si>
  <si>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</si>
  <si>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</si>
  <si>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</si>
  <si>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</si>
  <si>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</si>
  <si>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</si>
  <si>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</si>
  <si>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</si>
  <si>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</si>
  <si>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</si>
  <si>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</si>
  <si>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</si>
  <si>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</si>
  <si>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</si>
  <si>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</si>
  <si>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</si>
  <si>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</si>
  <si>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</si>
  <si>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</si>
  <si>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</si>
  <si>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</si>
  <si>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</si>
  <si>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</si>
  <si>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</si>
  <si>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</si>
  <si>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</si>
  <si>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</si>
  <si>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</si>
  <si>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</si>
  <si>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</si>
  <si>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</si>
  <si>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</si>
  <si>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</si>
  <si>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</si>
  <si>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</si>
  <si>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</si>
  <si>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</si>
  <si>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</si>
  <si>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</si>
  <si>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</si>
  <si>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</si>
  <si>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</si>
  <si>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</si>
  <si>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</si>
  <si>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</si>
  <si>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</si>
  <si>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</si>
  <si>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</si>
  <si>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</si>
  <si>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</si>
  <si>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</si>
  <si>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</si>
  <si>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</si>
  <si>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</si>
  <si>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</si>
  <si>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</si>
  <si>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</si>
  <si>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</si>
  <si>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</si>
  <si>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</si>
  <si>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</si>
  <si>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</si>
  <si>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</si>
  <si>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</si>
  <si>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</si>
  <si>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</si>
  <si>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</si>
  <si>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</si>
  <si>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</si>
  <si>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</si>
  <si>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</si>
  <si>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</si>
  <si>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</si>
  <si>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</si>
  <si>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</si>
  <si>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</si>
  <si>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</si>
  <si>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</si>
  <si>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</si>
  <si>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</si>
  <si>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</si>
  <si>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</si>
  <si>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</si>
  <si>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</si>
  <si>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</si>
  <si>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</si>
  <si>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</si>
  <si>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</si>
  <si>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</si>
  <si>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</si>
  <si>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</si>
  <si>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</si>
  <si>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</si>
  <si>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</si>
  <si>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</si>
  <si>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</si>
  <si>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</si>
  <si>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</si>
  <si>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</si>
  <si>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</si>
  <si>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</si>
  <si>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</si>
  <si>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</si>
  <si>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</si>
  <si>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</si>
  <si>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</si>
  <si>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</si>
  <si>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</si>
  <si>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</si>
  <si>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</si>
  <si>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</si>
  <si>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</si>
  <si>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</si>
  <si>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</si>
  <si>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</si>
  <si>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</si>
  <si>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</si>
  <si>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</si>
  <si>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</si>
  <si>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</si>
  <si>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</si>
  <si>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</si>
  <si>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</si>
  <si>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</si>
  <si>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</si>
  <si>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</si>
  <si>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</si>
  <si>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</si>
  <si>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</si>
  <si>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</si>
  <si>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</si>
  <si>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</si>
  <si>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</si>
  <si>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</si>
  <si>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</si>
  <si>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</si>
  <si>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</si>
  <si>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</si>
  <si>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</si>
  <si>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</si>
  <si>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</si>
  <si>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</si>
  <si>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</si>
  <si>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</si>
  <si>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</si>
  <si>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</si>
  <si>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</si>
  <si>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</si>
  <si>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</si>
  <si>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</si>
  <si>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</si>
  <si>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</si>
  <si>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</si>
  <si>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</si>
  <si>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</si>
  <si>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</si>
  <si>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</si>
  <si>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</si>
  <si>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</si>
  <si>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</si>
  <si>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</si>
  <si>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</si>
  <si>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</si>
  <si>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</si>
  <si>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</si>
  <si>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</si>
  <si>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</si>
  <si>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</si>
  <si>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</si>
  <si>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</si>
  <si>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</si>
  <si>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</si>
  <si>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</si>
  <si>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</si>
  <si>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</si>
  <si>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</si>
  <si>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</si>
  <si>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</si>
  <si>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</si>
  <si>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</si>
  <si>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</si>
  <si>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</si>
  <si>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</si>
  <si>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</si>
  <si>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</si>
  <si>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</si>
  <si>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</si>
  <si>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</si>
  <si>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</si>
  <si>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</si>
  <si>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</si>
  <si>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</si>
  <si>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</si>
  <si>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</si>
  <si>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</si>
  <si>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</si>
  <si>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</si>
  <si>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</si>
  <si>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</si>
  <si>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</si>
  <si>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</si>
  <si>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</si>
  <si>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</si>
  <si>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</si>
  <si>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</si>
  <si>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</si>
  <si>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</si>
  <si>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</si>
  <si>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</si>
  <si>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</si>
  <si>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</si>
  <si>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</si>
  <si>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</si>
  <si>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</si>
  <si>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</si>
  <si>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</si>
  <si>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</si>
  <si>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</si>
  <si>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</si>
  <si>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</si>
  <si>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</si>
  <si>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</si>
  <si>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</si>
  <si>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</si>
  <si>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</si>
  <si>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</si>
  <si>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</si>
  <si>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</si>
  <si>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</si>
  <si>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</si>
  <si>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</si>
  <si>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</si>
  <si>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</si>
  <si>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</si>
  <si>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</si>
  <si>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</si>
  <si>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</si>
  <si>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</si>
  <si>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</si>
  <si>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</si>
  <si>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</si>
  <si>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</si>
  <si>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</si>
  <si>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</si>
  <si>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</si>
  <si>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</si>
  <si>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</si>
  <si>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</si>
  <si>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</si>
  <si>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</si>
  <si>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</si>
  <si>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</si>
  <si>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</si>
  <si>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</si>
  <si>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</si>
  <si>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</si>
  <si>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</si>
  <si>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</si>
  <si>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</si>
  <si>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</si>
  <si>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</si>
  <si>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</si>
  <si>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</si>
  <si>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</si>
  <si>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</si>
  <si>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</si>
  <si>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</si>
  <si>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</si>
  <si>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</si>
  <si>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</si>
  <si>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</si>
  <si>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</si>
  <si>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</si>
  <si>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</si>
  <si>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</si>
  <si>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</si>
  <si>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</si>
  <si>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</si>
  <si>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</si>
  <si>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</si>
  <si>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</si>
  <si>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</si>
  <si>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</si>
  <si>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</si>
  <si>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</si>
  <si>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</si>
  <si>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</si>
  <si>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</si>
  <si>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</si>
  <si>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</si>
  <si>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</si>
  <si>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</si>
  <si>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</si>
  <si>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</si>
  <si>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</si>
  <si>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</si>
  <si>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</si>
  <si>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</si>
  <si>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</si>
  <si>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</si>
  <si>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</si>
  <si>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</si>
  <si>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</si>
  <si>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</si>
  <si>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</si>
  <si>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</si>
  <si>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</si>
  <si>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</si>
  <si>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</si>
  <si>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</si>
  <si>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</si>
  <si>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</si>
  <si>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</si>
  <si>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</si>
  <si>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</si>
  <si>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</si>
  <si>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</si>
  <si>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</si>
  <si>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</si>
  <si>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</si>
  <si>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</si>
  <si>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</si>
  <si>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</si>
  <si>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</si>
  <si>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</si>
  <si>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</si>
  <si>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</si>
  <si>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</si>
  <si>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</si>
  <si>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</si>
  <si>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</si>
  <si>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</si>
  <si>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</si>
  <si>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</si>
  <si>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</si>
  <si>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Михайлово-Ярцевское</t>
  </si>
  <si>
    <t>45951000</t>
  </si>
  <si>
    <t>142</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</si>
  <si>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</si>
  <si>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</si>
  <si>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</si>
  <si>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</si>
  <si>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</si>
  <si>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</si>
  <si>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</si>
  <si>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</si>
  <si>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</si>
  <si>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</si>
  <si>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</si>
  <si>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</si>
  <si>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</si>
  <si>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</si>
  <si>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</si>
  <si>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</si>
  <si>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</si>
  <si>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</si>
  <si>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</si>
  <si>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</si>
  <si>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</si>
  <si>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</si>
  <si>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</si>
  <si>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</si>
  <si>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</si>
  <si>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</si>
  <si>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</si>
  <si>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</si>
  <si>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</si>
  <si>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</si>
  <si>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</si>
  <si>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</si>
  <si>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</si>
  <si>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</si>
  <si>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</si>
  <si>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</si>
  <si>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</si>
  <si>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</si>
  <si>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</si>
  <si>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</si>
  <si>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</si>
  <si>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</si>
  <si>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"РЕСУРСЭНЕРГОКОМ" в сфере теплоснабжения в отношении системы инженерной инфраструктуры на 2025-2027 годы</t>
  </si>
  <si>
    <t>01.01.2025</t>
  </si>
  <si>
    <t>31.12.2027</t>
  </si>
  <si>
    <t>Инвестиционная программа № ДПР-ТД-383/24 от 10.10.2024 ООО "ТСБ" в сфере теплоснабжения в отношении системы инженерной инфраструктуры на 2025-2027 годы</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</si>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</sst>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dd\.mm\.yyyy"/>
    <numFmt numFmtId="169" formatCode="000000"/>
    <numFmt numFmtId="170" formatCode="#,##0.000"/>
    <numFmt numFmtId="171" formatCode="#,##0.0000"/>
    <numFmt numFmtId="172" formatCode="h:mm;@"/>
  </numFmts>
  <fonts count="85">
    <font>
      <sz val="9"/>
      <color rgb="FF000000"/>
      <name val="Tahoma"/>
    </font>
    <font>
      <sz val="11"/>
      <color rgb="FFFFFFFF"/>
      <name val="Tahoma"/>
    </font>
    <font>
      <b/>
      <sz val="10"/>
      <name val="Tahoma"/>
    </font>
    <font>
      <sz val="10"/>
      <name val="Tahoma"/>
    </font>
    <font>
      <sz val="11"/>
      <color rgb="FF000000"/>
      <name val="Tahoma"/>
    </font>
    <font>
      <sz val="10"/>
      <color rgb="FF000000"/>
      <name val="Tahoma"/>
    </font>
    <font>
      <b/>
      <sz val="10"/>
      <color rgb="FF000000"/>
      <name val="Tahoma"/>
    </font>
    <font>
      <sz val="1"/>
      <color rgb="FFFFFFFF"/>
      <name val="Tahoma"/>
    </font>
    <font>
      <sz val="9"/>
      <name val="Tahoma"/>
    </font>
    <font>
      <sz val="9"/>
      <color rgb="FFFFFFFF"/>
      <name val="Tahoma"/>
    </font>
    <font>
      <sz val="3"/>
      <name val="Tahoma"/>
    </font>
    <font>
      <sz val="16"/>
      <name val="Tahoma"/>
    </font>
    <font>
      <b/>
      <sz val="9"/>
      <name val="Tahoma"/>
    </font>
    <font>
      <sz val="3"/>
      <color rgb="FF993300"/>
      <name val="Tahoma"/>
    </font>
    <font>
      <sz val="7"/>
      <name val="Tahoma"/>
    </font>
    <font>
      <sz val="3"/>
      <color rgb="FFFFFFFF"/>
      <name val="Tahoma"/>
    </font>
    <font>
      <sz val="7"/>
      <color theme="0" tint="-0.499984740745262"/>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sz val="9"/>
      <color rgb="FFCC0000"/>
      <name val="Tahoma"/>
    </font>
    <font>
      <sz val="1"/>
      <color theme="0"/>
      <name val="Tahoma"/>
    </font>
    <font>
      <sz val="11"/>
      <color theme="0"/>
      <name val="Wingdings 2"/>
    </font>
    <font>
      <sz val="11"/>
      <name val="Wingdings 2"/>
    </font>
    <font>
      <sz val="9"/>
      <color rgb="FFBCBCBC"/>
      <name val="Tahoma"/>
    </font>
    <font>
      <sz val="9"/>
      <color rgb="FF000080"/>
      <name val="Tahoma"/>
    </font>
    <font>
      <sz val="8"/>
      <name val="Tahoma"/>
    </font>
    <font>
      <sz val="11"/>
      <color rgb="FFBCBCBC"/>
      <name val="Wingdings 2"/>
    </font>
    <font>
      <sz val="5"/>
      <color rgb="FFFF0000"/>
      <name val="Tahoma"/>
    </font>
    <font>
      <b/>
      <sz val="11"/>
      <color rgb="FF000000"/>
      <name val="Calibri"/>
    </font>
    <font>
      <sz val="9"/>
      <color theme="1"/>
      <name val="Tahoma"/>
    </font>
    <font>
      <sz val="12"/>
      <name val="Marlett"/>
    </font>
    <font>
      <sz val="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name val="Webdings2"/>
    </font>
    <font>
      <sz val="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name val="Tahoma"/>
    </font>
    <font>
      <sz val="12"/>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rgb="FFBCBCBC"/>
      </patternFill>
    </fill>
    <fill>
      <patternFill patternType="solid">
        <fgColor theme="0" tint="-0.14999847407452621"/>
        <bgColor indexed="6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79998168889431442"/>
        <bgColor indexed="65"/>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9.9978637043366805E-2"/>
        <bgColor indexed="65"/>
      </patternFill>
    </fill>
    <fill>
      <patternFill patternType="solid">
        <fgColor theme="5" tint="0.79998168889431442"/>
        <bgColor indexed="65"/>
      </patternFill>
    </fill>
    <fill>
      <patternFill patternType="solid">
        <fgColor theme="9" tint="-0.249977111117893"/>
        <bgColor indexed="65"/>
      </patternFill>
    </fill>
    <fill>
      <patternFill patternType="solid">
        <fgColor theme="6" tint="0.39997558519241921"/>
        <bgColor indexed="65"/>
      </patternFill>
    </fill>
    <fill>
      <patternFill patternType="solid">
        <fgColor theme="7" tint="0.79998168889431442"/>
        <bgColor indexed="65"/>
      </patternFill>
    </fill>
  </fills>
  <borders count="66">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top/>
      <bottom/>
      <diagonal/>
    </border>
    <border>
      <left/>
      <right style="thin">
        <color rgb="FFBCBCBC"/>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hair">
        <color rgb="FFC0C0C0"/>
      </left>
      <right/>
      <top style="hair">
        <color rgb="FFC0C0C0"/>
      </top>
      <bottom style="hair">
        <color rgb="FFC0C0C0"/>
      </bottom>
      <diagonal/>
    </border>
    <border>
      <left style="thin">
        <color rgb="FFC0C0C0"/>
      </left>
      <right style="thin">
        <color rgb="FFC0C0C0"/>
      </right>
      <top style="thin">
        <color rgb="FFC0C0C0"/>
      </top>
      <bottom style="thin">
        <color rgb="FFC0C0C0"/>
      </bottom>
      <diagonal/>
    </border>
    <border>
      <left style="thin">
        <color rgb="FFBCBCBC"/>
      </left>
      <right style="thin">
        <color rgb="FFBCBCBC"/>
      </right>
      <top style="thin">
        <color rgb="FFBCBCBC"/>
      </top>
      <bottom style="thin">
        <color rgb="FFBCBCBC"/>
      </bottom>
      <diagonal/>
    </border>
    <border>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style="thin">
        <color rgb="FFC0C0C0"/>
      </right>
      <top/>
      <bottom style="thin">
        <color rgb="FFC0C0C0"/>
      </bottom>
      <diagonal/>
    </border>
    <border>
      <left/>
      <right/>
      <top style="thin">
        <color rgb="FFD3DBDB"/>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top/>
      <bottom style="thin">
        <color rgb="FFC0C0C0"/>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C0C0C0"/>
      </left>
      <right style="thin">
        <color rgb="FFC0C0C0"/>
      </right>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rgb="FFBCBCBC"/>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rgb="FFD3DBDB"/>
      </left>
      <right style="thin">
        <color rgb="FFD3DBDB"/>
      </right>
      <top style="thin">
        <color rgb="FFD3DBDB"/>
      </top>
      <bottom style="thin">
        <color rgb="FFD3DBDB"/>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C0C0C0"/>
      </left>
      <right style="thin">
        <color rgb="FFC0C0C0"/>
      </right>
      <top style="thin">
        <color rgb="FFC0C0C0"/>
      </top>
      <bottom style="thin">
        <color rgb="FFBCBCBC"/>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style="thin">
        <color theme="0" tint="-0.249977111117893"/>
      </right>
      <top style="thin">
        <color rgb="FFC0C0C0"/>
      </top>
      <bottom style="thin">
        <color rgb="FFC0C0C0"/>
      </bottom>
      <diagonal/>
    </border>
    <border>
      <left style="thin">
        <color rgb="FFC0C0C0"/>
      </left>
      <right style="thin">
        <color rgb="FFC0C0C0"/>
      </right>
      <top style="thin">
        <color rgb="FFC0C0C0"/>
      </top>
      <bottom style="medium">
        <color rgb="FFC0C0C0"/>
      </bottom>
      <diagonal/>
    </border>
    <border>
      <left/>
      <right/>
      <top/>
      <bottom style="medium">
        <color rgb="FFC0C0C0"/>
      </bottom>
      <diagonal/>
    </border>
    <border>
      <left/>
      <right/>
      <top style="thin">
        <color rgb="FFC0C0C0"/>
      </top>
      <bottom style="medium">
        <color rgb="FFC0C0C0"/>
      </bottom>
      <diagonal/>
    </border>
    <border>
      <left style="thin">
        <color rgb="FFBCBCBC"/>
      </left>
      <right/>
      <top style="medium">
        <color rgb="FFBCBCBC"/>
      </top>
      <bottom style="thin">
        <color rgb="FFC0C0C0"/>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right/>
      <top style="dotted">
        <color rgb="FF000000"/>
      </top>
      <bottom style="dotted">
        <color rgb="FF000000"/>
      </bottom>
      <diagonal/>
    </border>
  </borders>
  <cellStyleXfs count="1253">
    <xf numFmtId="49" fontId="0" fillId="0" borderId="0" applyFill="0" applyBorder="0">
      <alignment vertical="top"/>
    </xf>
    <xf numFmtId="49" fontId="1" fillId="0" borderId="0" applyFill="0" applyBorder="0">
      <alignment wrapText="1"/>
    </xf>
    <xf numFmtId="0" fontId="2" fillId="0" borderId="0" applyFill="0" applyBorder="0">
      <alignment vertical="center" wrapText="1"/>
    </xf>
    <xf numFmtId="0" fontId="2" fillId="0" borderId="0" applyFill="0" applyBorder="0">
      <alignment vertical="center"/>
    </xf>
    <xf numFmtId="0" fontId="3" fillId="2" borderId="1">
      <alignment horizontal="center" vertical="center" wrapText="1"/>
    </xf>
    <xf numFmtId="0" fontId="3" fillId="2" borderId="2">
      <alignment horizontal="center" vertical="center" wrapText="1"/>
    </xf>
    <xf numFmtId="0" fontId="3" fillId="2" borderId="3">
      <alignment horizontal="center" vertical="center" wrapText="1"/>
    </xf>
    <xf numFmtId="0" fontId="3" fillId="3" borderId="4">
      <alignment horizontal="right" vertical="center" wrapText="1" indent="1"/>
    </xf>
    <xf numFmtId="0" fontId="3" fillId="3" borderId="5">
      <alignment horizontal="right" vertical="center" wrapText="1" indent="1"/>
    </xf>
    <xf numFmtId="0" fontId="4" fillId="0" borderId="4" applyFill="0">
      <alignment wrapText="1"/>
    </xf>
    <xf numFmtId="0" fontId="79" fillId="4" borderId="6">
      <alignment horizontal="center" vertical="center" wrapText="1"/>
    </xf>
    <xf numFmtId="0" fontId="5" fillId="0" borderId="4" applyFill="0">
      <alignment vertical="center" wrapText="1"/>
    </xf>
    <xf numFmtId="0" fontId="79" fillId="5" borderId="6">
      <alignment horizontal="center" vertical="center" wrapText="1"/>
    </xf>
    <xf numFmtId="0" fontId="5" fillId="0" borderId="4" applyFill="0">
      <alignment horizontal="left" vertical="center" wrapText="1"/>
    </xf>
    <xf numFmtId="0" fontId="79" fillId="6" borderId="6">
      <alignment horizontal="center" vertical="center" wrapText="1"/>
    </xf>
    <xf numFmtId="0" fontId="79" fillId="7" borderId="6">
      <alignment horizontal="center" vertical="center" wrapText="1"/>
    </xf>
    <xf numFmtId="0" fontId="3" fillId="3" borderId="0" applyBorder="0">
      <alignment horizontal="right" vertical="center" wrapText="1" indent="1"/>
    </xf>
    <xf numFmtId="0" fontId="6" fillId="0" borderId="4" applyFill="0">
      <alignment horizontal="left" vertical="center" wrapText="1"/>
    </xf>
    <xf numFmtId="0" fontId="6" fillId="0" borderId="7" applyFill="0">
      <alignment horizontal="left" vertical="center" wrapText="1"/>
    </xf>
    <xf numFmtId="0" fontId="3" fillId="3" borderId="6">
      <alignment horizontal="right" vertical="center" wrapText="1" indent="1"/>
    </xf>
    <xf numFmtId="0" fontId="3" fillId="3" borderId="8">
      <alignment horizontal="right" vertical="center" wrapText="1" indent="1"/>
    </xf>
    <xf numFmtId="0" fontId="5" fillId="0" borderId="4" applyFill="0">
      <alignment wrapText="1"/>
    </xf>
    <xf numFmtId="0" fontId="5" fillId="0" borderId="0" applyFill="0" applyBorder="0">
      <alignment vertical="center" wrapText="1"/>
    </xf>
    <xf numFmtId="0" fontId="5" fillId="0" borderId="0" applyFill="0" applyBorder="0">
      <alignment vertical="top" wrapText="1"/>
    </xf>
    <xf numFmtId="0" fontId="3" fillId="3" borderId="9">
      <alignment horizontal="right" vertical="center" wrapText="1" indent="1"/>
    </xf>
    <xf numFmtId="0" fontId="3" fillId="3" borderId="10">
      <alignment horizontal="right" vertical="center" wrapText="1" indent="1"/>
    </xf>
    <xf numFmtId="0" fontId="4" fillId="0" borderId="9" applyFill="0">
      <alignment wrapText="1"/>
    </xf>
    <xf numFmtId="0" fontId="4" fillId="0" borderId="10" applyFill="0">
      <alignment wrapText="1"/>
    </xf>
    <xf numFmtId="0" fontId="4" fillId="0" borderId="10" applyFill="0">
      <alignment vertical="center" wrapText="1"/>
    </xf>
    <xf numFmtId="0" fontId="7" fillId="0" borderId="0" applyFill="0" applyBorder="0">
      <alignment vertical="center" wrapText="1"/>
    </xf>
    <xf numFmtId="0" fontId="8" fillId="0" borderId="0" applyFill="0" applyBorder="0">
      <alignment horizontal="left" vertical="top" indent="1"/>
    </xf>
    <xf numFmtId="0" fontId="9" fillId="0" borderId="0" applyFill="0" applyBorder="0">
      <alignment vertical="center" wrapText="1"/>
    </xf>
    <xf numFmtId="0" fontId="79" fillId="0" borderId="0" applyFill="0" applyBorder="0">
      <alignment horizontal="left" vertical="center" indent="1"/>
    </xf>
    <xf numFmtId="0" fontId="8" fillId="0" borderId="0" applyFill="0" applyBorder="0">
      <alignment vertical="center" wrapText="1"/>
    </xf>
    <xf numFmtId="0" fontId="10" fillId="8" borderId="0" applyBorder="0">
      <alignment vertical="center" wrapText="1"/>
    </xf>
    <xf numFmtId="0" fontId="10" fillId="0" borderId="0" applyFill="0" applyBorder="0">
      <alignment vertical="center" wrapText="1"/>
    </xf>
    <xf numFmtId="0" fontId="11" fillId="8" borderId="0" applyBorder="0">
      <alignment vertical="center" wrapText="1"/>
    </xf>
    <xf numFmtId="0" fontId="8" fillId="0" borderId="11" applyFill="0">
      <alignment horizontal="center" vertical="center" wrapText="1"/>
    </xf>
    <xf numFmtId="0" fontId="8" fillId="0" borderId="12" applyFill="0">
      <alignment horizontal="center" vertical="center" wrapText="1"/>
    </xf>
    <xf numFmtId="0" fontId="12" fillId="8" borderId="0" applyBorder="0">
      <alignment vertical="center" wrapText="1"/>
    </xf>
    <xf numFmtId="0" fontId="10" fillId="8" borderId="0" applyBorder="0">
      <alignment horizontal="right" vertical="center" wrapText="1" indent="1"/>
    </xf>
    <xf numFmtId="0" fontId="13" fillId="8" borderId="0" applyBorder="0">
      <alignment horizontal="center" vertical="center" wrapText="1"/>
    </xf>
    <xf numFmtId="0" fontId="8" fillId="8" borderId="13">
      <alignment horizontal="right" vertical="center" wrapText="1" indent="1"/>
    </xf>
    <xf numFmtId="0" fontId="79" fillId="6" borderId="14">
      <alignment horizontal="left" vertical="center" wrapText="1" indent="1"/>
    </xf>
    <xf numFmtId="14" fontId="14" fillId="8" borderId="0" applyBorder="0">
      <alignment horizontal="left" vertical="center" wrapText="1"/>
    </xf>
    <xf numFmtId="0" fontId="15" fillId="8" borderId="0" applyBorder="0">
      <alignment horizontal="center" vertical="center" wrapText="1"/>
    </xf>
    <xf numFmtId="0" fontId="10" fillId="8" borderId="0" applyBorder="0">
      <alignment horizontal="left" vertical="center" wrapText="1" indent="1"/>
    </xf>
    <xf numFmtId="0" fontId="8" fillId="8" borderId="0" applyBorder="0">
      <alignment horizontal="center" vertical="center" wrapText="1"/>
    </xf>
    <xf numFmtId="0" fontId="8" fillId="7" borderId="14">
      <alignment horizontal="left" vertical="top" wrapText="1" indent="1"/>
      <protection locked="0"/>
    </xf>
    <xf numFmtId="0" fontId="8" fillId="0" borderId="0" applyFill="0" applyBorder="0">
      <alignment horizontal="left" vertical="center" wrapText="1"/>
    </xf>
    <xf numFmtId="49" fontId="8" fillId="9" borderId="14">
      <alignment horizontal="left" vertical="center" wrapText="1" indent="1"/>
    </xf>
    <xf numFmtId="14" fontId="16" fillId="0" borderId="14" applyFill="0">
      <alignment horizontal="center" vertical="center" wrapText="1"/>
    </xf>
    <xf numFmtId="168" fontId="79" fillId="7" borderId="14">
      <alignment horizontal="left" vertical="center" wrapText="1" indent="1"/>
      <protection locked="0"/>
    </xf>
    <xf numFmtId="0" fontId="17" fillId="0" borderId="0" applyFill="0" applyBorder="0">
      <alignment horizontal="left" vertical="center" indent="1"/>
    </xf>
    <xf numFmtId="0" fontId="18" fillId="0" borderId="0" applyFill="0" applyBorder="0">
      <alignment vertical="center" wrapText="1"/>
    </xf>
    <xf numFmtId="0" fontId="8" fillId="8" borderId="0" applyBorder="0">
      <alignment vertical="center" wrapText="1"/>
    </xf>
    <xf numFmtId="14" fontId="16" fillId="0" borderId="14" applyFill="0">
      <alignment horizontal="left" vertical="center" wrapText="1"/>
    </xf>
    <xf numFmtId="49" fontId="8" fillId="8" borderId="13">
      <alignment horizontal="right" vertical="center" wrapText="1" indent="1"/>
    </xf>
    <xf numFmtId="49" fontId="18" fillId="0" borderId="0" applyFill="0" applyBorder="0">
      <alignment vertical="center" wrapText="1"/>
    </xf>
    <xf numFmtId="0" fontId="79" fillId="7" borderId="14">
      <alignment horizontal="left" vertical="center" wrapText="1" indent="1"/>
      <protection locked="0"/>
    </xf>
    <xf numFmtId="49" fontId="8" fillId="7" borderId="14">
      <alignment horizontal="left" vertical="center" wrapText="1" indent="1"/>
      <protection locked="0"/>
    </xf>
    <xf numFmtId="168" fontId="79" fillId="0" borderId="14" applyFill="0">
      <alignment horizontal="left" vertical="center" wrapText="1" indent="1"/>
    </xf>
    <xf numFmtId="0" fontId="79" fillId="8" borderId="0" applyBorder="0">
      <alignment horizontal="right" vertical="center" wrapText="1" indent="1"/>
    </xf>
    <xf numFmtId="0" fontId="19" fillId="0" borderId="0" applyFill="0" applyBorder="0">
      <alignment horizontal="left" vertical="center" wrapText="1"/>
    </xf>
    <xf numFmtId="0" fontId="8" fillId="8" borderId="0" applyBorder="0">
      <alignment horizontal="right" vertical="center" wrapText="1" indent="1"/>
    </xf>
    <xf numFmtId="0" fontId="8" fillId="0" borderId="0" applyFill="0" applyBorder="0">
      <alignment horizontal="center" vertical="center" wrapText="1"/>
    </xf>
    <xf numFmtId="0" fontId="19" fillId="0" borderId="0" applyFill="0" applyBorder="0">
      <alignment vertical="center" wrapText="1"/>
    </xf>
    <xf numFmtId="0" fontId="79" fillId="8" borderId="0" applyBorder="0">
      <alignment horizontal="left" vertical="center" wrapText="1" indent="1"/>
    </xf>
    <xf numFmtId="49" fontId="8" fillId="0" borderId="14" applyFill="0">
      <alignment horizontal="left" vertical="center" wrapText="1" indent="1"/>
    </xf>
    <xf numFmtId="0" fontId="20" fillId="8" borderId="0" applyBorder="0">
      <alignment horizontal="center" vertical="center" wrapText="1"/>
    </xf>
    <xf numFmtId="49" fontId="8" fillId="6" borderId="14">
      <alignment horizontal="left" vertical="center" wrapText="1" indent="1"/>
    </xf>
    <xf numFmtId="14" fontId="8" fillId="8" borderId="0" applyBorder="0">
      <alignment horizontal="center" vertical="center" wrapText="1"/>
    </xf>
    <xf numFmtId="0" fontId="79" fillId="8" borderId="13">
      <alignment horizontal="right" vertical="center" wrapText="1" indent="1"/>
    </xf>
    <xf numFmtId="14" fontId="8" fillId="8" borderId="0" applyBorder="0">
      <alignment horizontal="left" vertical="center" wrapText="1"/>
    </xf>
    <xf numFmtId="0" fontId="8" fillId="7" borderId="14">
      <alignment horizontal="left" vertical="center" wrapText="1" indent="1"/>
      <protection locked="0"/>
    </xf>
    <xf numFmtId="0" fontId="21" fillId="8" borderId="0" applyBorder="0">
      <alignment horizontal="right" vertical="center" wrapText="1" indent="1"/>
    </xf>
    <xf numFmtId="0" fontId="21" fillId="8" borderId="0" applyBorder="0">
      <alignment horizontal="left" vertical="center" wrapText="1" indent="1"/>
    </xf>
    <xf numFmtId="49" fontId="22" fillId="0" borderId="14" applyFill="0">
      <alignment horizontal="left" vertical="center" wrapText="1" indent="1"/>
    </xf>
    <xf numFmtId="0" fontId="8" fillId="9" borderId="14">
      <alignment horizontal="left" vertical="center" wrapText="1" indent="1"/>
    </xf>
    <xf numFmtId="168" fontId="79" fillId="0" borderId="15" applyFill="0">
      <alignment horizontal="left" vertical="center" wrapText="1" indent="1"/>
    </xf>
    <xf numFmtId="0" fontId="8" fillId="7" borderId="14">
      <alignment horizontal="left" vertical="center" wrapText="1" indent="1"/>
      <protection locked="0"/>
    </xf>
    <xf numFmtId="49" fontId="11" fillId="8" borderId="0" applyBorder="0">
      <alignment horizontal="center" vertical="center" wrapText="1"/>
    </xf>
    <xf numFmtId="0" fontId="8" fillId="0" borderId="0" applyFill="0" applyBorder="0">
      <alignment horizontal="left" vertical="center" wrapText="1" indent="4"/>
    </xf>
    <xf numFmtId="49" fontId="8" fillId="8" borderId="0" applyBorder="0">
      <alignment horizontal="right" vertical="center" wrapText="1" indent="1"/>
    </xf>
    <xf numFmtId="49" fontId="18" fillId="0" borderId="0" applyFill="0" applyBorder="0">
      <alignment horizontal="center" vertical="center" wrapText="1"/>
    </xf>
    <xf numFmtId="49" fontId="79" fillId="8" borderId="0" applyBorder="0">
      <alignment horizontal="right" vertical="center" wrapText="1" indent="1"/>
    </xf>
    <xf numFmtId="0" fontId="14" fillId="0" borderId="0" applyFill="0" applyBorder="0">
      <alignment horizontal="left" vertical="center" wrapText="1"/>
    </xf>
    <xf numFmtId="0" fontId="9" fillId="0" borderId="0" applyFill="0" applyBorder="0">
      <alignment horizontal="left" vertical="center" wrapText="1"/>
    </xf>
    <xf numFmtId="0" fontId="23" fillId="0" borderId="0" applyFill="0" applyBorder="0">
      <alignment vertical="center" wrapText="1"/>
    </xf>
    <xf numFmtId="0" fontId="9" fillId="0" borderId="0" applyFill="0" applyBorder="0">
      <alignment horizontal="center" vertical="center" wrapText="1"/>
    </xf>
    <xf numFmtId="0" fontId="24" fillId="0" borderId="0" applyFill="0" applyBorder="0">
      <alignment horizontal="left" vertical="center" indent="1"/>
    </xf>
    <xf numFmtId="0" fontId="24" fillId="0" borderId="0" applyFill="0" applyBorder="0">
      <alignment horizontal="center" vertical="center" wrapText="1"/>
    </xf>
    <xf numFmtId="0" fontId="24" fillId="0" borderId="0" applyFill="0" applyBorder="0">
      <alignment horizontal="left" vertical="center" wrapText="1" indent="1"/>
    </xf>
    <xf numFmtId="0" fontId="24" fillId="0" borderId="0" applyFill="0" applyBorder="0">
      <alignment vertical="center" wrapText="1"/>
    </xf>
    <xf numFmtId="0" fontId="25" fillId="0" borderId="0" applyFill="0" applyBorder="0">
      <alignment vertical="center" wrapText="1"/>
    </xf>
    <xf numFmtId="0" fontId="26" fillId="0" borderId="0" applyFill="0" applyBorder="0">
      <alignment vertical="center" wrapText="1"/>
    </xf>
    <xf numFmtId="0" fontId="8" fillId="0" borderId="16" applyFill="0">
      <alignment horizontal="left" vertical="center" wrapText="1" indent="1"/>
    </xf>
    <xf numFmtId="0" fontId="8" fillId="0" borderId="16" applyFill="0">
      <alignment horizontal="center" vertical="center" wrapText="1"/>
    </xf>
    <xf numFmtId="4" fontId="8" fillId="0" borderId="14" applyFill="0">
      <alignment horizontal="center" vertical="center" wrapText="1"/>
    </xf>
    <xf numFmtId="169" fontId="8" fillId="0" borderId="12" applyFill="0">
      <alignment horizontal="center" vertical="center" wrapText="1"/>
    </xf>
    <xf numFmtId="169" fontId="8" fillId="0" borderId="14" applyFill="0">
      <alignment horizontal="center" vertical="center" wrapText="1"/>
    </xf>
    <xf numFmtId="49" fontId="27" fillId="0" borderId="16" applyFill="0">
      <alignment horizontal="center" vertical="center" wrapText="1"/>
    </xf>
    <xf numFmtId="49" fontId="8" fillId="10" borderId="17">
      <alignment horizontal="center" vertical="center" wrapText="1"/>
    </xf>
    <xf numFmtId="49" fontId="18" fillId="10" borderId="17">
      <alignment horizontal="left" vertical="center" wrapText="1"/>
    </xf>
    <xf numFmtId="49" fontId="18" fillId="10" borderId="18">
      <alignment horizontal="left" vertical="center" wrapText="1"/>
    </xf>
    <xf numFmtId="0" fontId="24" fillId="0" borderId="19" applyFill="0">
      <alignment vertical="center"/>
    </xf>
    <xf numFmtId="0" fontId="24" fillId="0" borderId="0" applyFill="0" applyBorder="0">
      <alignment vertical="center"/>
    </xf>
    <xf numFmtId="0" fontId="8" fillId="0" borderId="14" applyFill="0">
      <alignment horizontal="center" vertical="center" wrapText="1"/>
    </xf>
    <xf numFmtId="0" fontId="24" fillId="0" borderId="14" applyFill="0">
      <alignment horizontal="center" vertical="center" wrapText="1"/>
    </xf>
    <xf numFmtId="49" fontId="8" fillId="7" borderId="14">
      <alignment vertical="center" wrapText="1"/>
      <protection locked="0"/>
    </xf>
    <xf numFmtId="49" fontId="18" fillId="0" borderId="14" applyFill="0">
      <alignment horizontal="left" vertical="center" wrapText="1"/>
    </xf>
    <xf numFmtId="0" fontId="27" fillId="0" borderId="20" applyFill="0">
      <alignment vertical="top" wrapText="1"/>
    </xf>
    <xf numFmtId="0" fontId="8" fillId="0" borderId="21" applyFill="0">
      <alignment horizontal="center" vertical="center" wrapText="1"/>
    </xf>
    <xf numFmtId="0" fontId="24" fillId="0" borderId="21" applyFill="0">
      <alignment horizontal="center" vertical="center" wrapText="1"/>
    </xf>
    <xf numFmtId="14" fontId="8" fillId="9" borderId="21">
      <alignment horizontal="left" vertical="center" wrapText="1" indent="1"/>
    </xf>
    <xf numFmtId="49" fontId="8" fillId="6" borderId="21">
      <alignment horizontal="center" vertical="center" wrapText="1"/>
    </xf>
    <xf numFmtId="49" fontId="79" fillId="0" borderId="0" applyFill="0" applyBorder="0">
      <alignment vertical="top"/>
    </xf>
    <xf numFmtId="49" fontId="12" fillId="10" borderId="12">
      <alignment horizontal="right" vertical="center" wrapText="1"/>
    </xf>
    <xf numFmtId="49" fontId="12" fillId="10" borderId="16">
      <alignment horizontal="right" vertical="center" wrapText="1"/>
    </xf>
    <xf numFmtId="49" fontId="28" fillId="10" borderId="16">
      <alignment horizontal="left" vertical="center" indent="1"/>
    </xf>
    <xf numFmtId="49" fontId="79" fillId="10" borderId="16">
      <alignment horizontal="right" vertical="center" wrapText="1"/>
    </xf>
    <xf numFmtId="49" fontId="79" fillId="10" borderId="11">
      <alignment horizontal="right" vertical="center" wrapText="1"/>
    </xf>
    <xf numFmtId="49" fontId="8" fillId="10" borderId="12">
      <alignment horizontal="right" vertical="center" wrapText="1"/>
    </xf>
    <xf numFmtId="49" fontId="8" fillId="10" borderId="16">
      <alignment horizontal="right" vertical="center" wrapText="1"/>
    </xf>
    <xf numFmtId="49" fontId="28" fillId="10" borderId="16">
      <alignment horizontal="left" vertical="center"/>
    </xf>
    <xf numFmtId="49" fontId="8" fillId="10" borderId="11">
      <alignment horizontal="right" vertical="center" wrapText="1"/>
    </xf>
    <xf numFmtId="0" fontId="8" fillId="0" borderId="22" applyFill="0">
      <alignment vertical="center" wrapText="1"/>
    </xf>
    <xf numFmtId="0" fontId="29" fillId="0" borderId="0" applyFill="0" applyBorder="0">
      <alignment vertical="center" wrapText="1"/>
    </xf>
    <xf numFmtId="0" fontId="30" fillId="0" borderId="0" applyFill="0" applyBorder="0">
      <alignment horizontal="center" vertical="center" wrapText="1"/>
    </xf>
    <xf numFmtId="0" fontId="31" fillId="0" borderId="0" applyFill="0" applyBorder="0">
      <alignment vertical="center"/>
    </xf>
    <xf numFmtId="0" fontId="79" fillId="0" borderId="0" applyFill="0" applyBorder="0">
      <alignment vertical="center"/>
    </xf>
    <xf numFmtId="0" fontId="8" fillId="0" borderId="18" applyFill="0">
      <alignment horizontal="left" vertical="center" wrapText="1" indent="1"/>
    </xf>
    <xf numFmtId="0" fontId="8" fillId="0" borderId="23" applyFill="0">
      <alignment horizontal="left" vertical="center" wrapText="1" indent="1"/>
    </xf>
    <xf numFmtId="0" fontId="8" fillId="0" borderId="24" applyFill="0">
      <alignment horizontal="left" vertical="center" wrapText="1" indent="1"/>
    </xf>
    <xf numFmtId="0" fontId="8" fillId="0" borderId="25" applyFill="0">
      <alignment horizontal="left" vertical="center" indent="1"/>
    </xf>
    <xf numFmtId="0" fontId="8" fillId="0" borderId="21" applyFill="0">
      <alignment horizontal="left" vertical="center" indent="1"/>
    </xf>
    <xf numFmtId="0" fontId="8" fillId="0" borderId="26" applyFill="0">
      <alignment horizontal="left" vertical="center" indent="1"/>
    </xf>
    <xf numFmtId="0" fontId="32" fillId="0" borderId="0" applyFill="0" applyBorder="0">
      <alignment vertical="center"/>
    </xf>
    <xf numFmtId="0" fontId="79" fillId="0" borderId="0" applyFill="0" applyBorder="0">
      <alignment horizontal="left" vertical="center" wrapText="1" indent="2"/>
    </xf>
    <xf numFmtId="0" fontId="8" fillId="11" borderId="0" applyBorder="0">
      <alignment horizontal="center" vertical="center" wrapText="1"/>
    </xf>
    <xf numFmtId="0" fontId="33" fillId="0" borderId="24" applyFill="0">
      <alignment horizontal="center" vertical="center" wrapText="1"/>
    </xf>
    <xf numFmtId="0" fontId="33" fillId="0" borderId="17" applyFill="0">
      <alignment horizontal="center" vertical="center" wrapText="1"/>
    </xf>
    <xf numFmtId="0" fontId="33" fillId="0" borderId="14" applyFill="0">
      <alignment horizontal="center" vertical="center" wrapText="1"/>
    </xf>
    <xf numFmtId="0" fontId="8" fillId="0" borderId="27" applyFill="0">
      <alignment horizontal="center" vertical="center" wrapText="1"/>
    </xf>
    <xf numFmtId="0" fontId="8" fillId="0" borderId="28" applyFill="0">
      <alignment horizontal="center" vertical="center" wrapText="1"/>
    </xf>
    <xf numFmtId="0" fontId="18" fillId="0" borderId="19" applyFill="0">
      <alignment vertical="center"/>
    </xf>
    <xf numFmtId="49" fontId="27" fillId="0" borderId="14" applyFill="0">
      <alignment horizontal="center" vertical="center" wrapText="1"/>
    </xf>
    <xf numFmtId="49" fontId="27" fillId="0" borderId="29" applyFill="0">
      <alignment horizontal="center" vertical="center" wrapText="1"/>
    </xf>
    <xf numFmtId="49" fontId="27" fillId="0" borderId="30" applyFill="0">
      <alignment horizontal="center" vertical="center" wrapText="1"/>
    </xf>
    <xf numFmtId="49" fontId="27" fillId="0" borderId="12" applyFill="0">
      <alignment horizontal="center" vertical="center" wrapText="1"/>
    </xf>
    <xf numFmtId="49" fontId="27" fillId="0" borderId="11" applyFill="0">
      <alignment horizontal="center" vertical="center" wrapText="1"/>
    </xf>
    <xf numFmtId="0" fontId="8" fillId="10" borderId="12">
      <alignment horizontal="center" vertical="center" wrapText="1"/>
    </xf>
    <xf numFmtId="49" fontId="8" fillId="10" borderId="16">
      <alignment horizontal="center" vertical="center" wrapText="1"/>
    </xf>
    <xf numFmtId="49" fontId="8" fillId="10" borderId="31">
      <alignment horizontal="center" vertical="center" wrapText="1"/>
    </xf>
    <xf numFmtId="49" fontId="79" fillId="10" borderId="16">
      <alignment horizontal="left" vertical="center"/>
    </xf>
    <xf numFmtId="0" fontId="79" fillId="10" borderId="11">
      <alignment vertical="center"/>
    </xf>
    <xf numFmtId="49" fontId="8" fillId="0" borderId="14" applyFill="0">
      <alignment horizontal="center" vertical="center" wrapText="1"/>
    </xf>
    <xf numFmtId="0" fontId="8" fillId="9" borderId="23">
      <alignment horizontal="left" vertical="center" wrapText="1" indent="2"/>
    </xf>
    <xf numFmtId="49" fontId="8" fillId="9" borderId="21">
      <alignment horizontal="center" vertical="center" wrapText="1"/>
    </xf>
    <xf numFmtId="14" fontId="34" fillId="0" borderId="32" applyFill="0">
      <alignment horizontal="center" vertical="center" wrapText="1"/>
    </xf>
    <xf numFmtId="0" fontId="8" fillId="0" borderId="32" applyFill="0">
      <alignment horizontal="center" vertical="center" wrapText="1"/>
    </xf>
    <xf numFmtId="0" fontId="8" fillId="9" borderId="23">
      <alignment horizontal="left" vertical="center" wrapText="1" indent="1"/>
    </xf>
    <xf numFmtId="49" fontId="8" fillId="9" borderId="14">
      <alignment horizontal="center" vertical="center" wrapText="1"/>
    </xf>
    <xf numFmtId="49" fontId="8" fillId="0" borderId="23" applyFill="0">
      <alignment horizontal="center" vertical="center" wrapText="1"/>
    </xf>
    <xf numFmtId="49" fontId="33" fillId="7" borderId="14">
      <alignment horizontal="left" vertical="center" wrapText="1" indent="1"/>
      <protection locked="0"/>
    </xf>
    <xf numFmtId="0" fontId="8" fillId="0" borderId="0" applyFill="0" applyBorder="0">
      <alignment vertical="center"/>
    </xf>
    <xf numFmtId="0" fontId="18" fillId="0" borderId="0" applyFill="0" applyBorder="0">
      <alignment vertical="center"/>
    </xf>
    <xf numFmtId="0" fontId="8" fillId="9" borderId="33">
      <alignment horizontal="left" vertical="center" wrapText="1" indent="2"/>
    </xf>
    <xf numFmtId="0" fontId="8" fillId="9" borderId="21">
      <alignment horizontal="left" vertical="center" wrapText="1" indent="1"/>
    </xf>
    <xf numFmtId="49" fontId="28" fillId="10" borderId="11">
      <alignment horizontal="left" vertical="center" indent="1"/>
    </xf>
    <xf numFmtId="0" fontId="8" fillId="9" borderId="21">
      <alignment horizontal="left" vertical="center" wrapText="1" indent="2"/>
    </xf>
    <xf numFmtId="49" fontId="12" fillId="10" borderId="34">
      <alignment horizontal="right" vertical="center" wrapText="1"/>
    </xf>
    <xf numFmtId="49" fontId="12" fillId="10" borderId="35">
      <alignment horizontal="right" vertical="center" wrapText="1"/>
    </xf>
    <xf numFmtId="49" fontId="12" fillId="10" borderId="11">
      <alignment horizontal="right" vertical="center" wrapText="1"/>
    </xf>
    <xf numFmtId="0" fontId="33" fillId="11" borderId="0" applyBorder="0">
      <alignment vertical="top"/>
    </xf>
    <xf numFmtId="49" fontId="28" fillId="10" borderId="16">
      <alignment horizontal="left" vertical="center" indent="2"/>
    </xf>
    <xf numFmtId="0" fontId="8" fillId="0" borderId="18" applyFill="0">
      <alignment horizontal="left" vertical="top" wrapText="1" indent="1"/>
    </xf>
    <xf numFmtId="0" fontId="8" fillId="0" borderId="23" applyFill="0">
      <alignment horizontal="left" vertical="top" wrapText="1" indent="1"/>
    </xf>
    <xf numFmtId="0" fontId="8" fillId="0" borderId="24" applyFill="0">
      <alignment horizontal="left" vertical="top" wrapText="1" indent="1"/>
    </xf>
    <xf numFmtId="0" fontId="8" fillId="0" borderId="36" applyFill="0">
      <alignment horizontal="left" vertical="center" indent="1"/>
    </xf>
    <xf numFmtId="0" fontId="35" fillId="0" borderId="20" applyFill="0">
      <alignment horizontal="left" vertical="center" wrapText="1" indent="1"/>
    </xf>
    <xf numFmtId="0" fontId="35" fillId="0" borderId="33" applyFill="0">
      <alignment horizontal="left" vertical="center" wrapText="1" indent="1"/>
    </xf>
    <xf numFmtId="0" fontId="35" fillId="0" borderId="19" applyFill="0">
      <alignment horizontal="left" vertical="center" wrapText="1" indent="1"/>
    </xf>
    <xf numFmtId="0" fontId="36" fillId="0" borderId="0" applyFill="0" applyBorder="0">
      <alignment vertical="center"/>
    </xf>
    <xf numFmtId="0" fontId="79" fillId="0" borderId="14" applyFill="0">
      <alignment horizontal="center" vertical="center" wrapText="1"/>
    </xf>
    <xf numFmtId="49" fontId="24" fillId="8" borderId="0" applyBorder="0">
      <alignment horizontal="center" vertical="center" wrapText="1"/>
    </xf>
    <xf numFmtId="49" fontId="24" fillId="8" borderId="36">
      <alignment horizontal="center" vertical="center" wrapText="1"/>
    </xf>
    <xf numFmtId="0" fontId="24" fillId="0" borderId="14" applyFill="0">
      <alignment horizontal="center" vertical="center"/>
    </xf>
    <xf numFmtId="0" fontId="79" fillId="0" borderId="14" applyFill="0">
      <alignment horizontal="center" vertical="center"/>
    </xf>
    <xf numFmtId="49" fontId="79" fillId="0" borderId="14" applyFill="0">
      <alignment horizontal="center" vertical="center"/>
    </xf>
    <xf numFmtId="49" fontId="79" fillId="0" borderId="14" applyFill="0">
      <alignment horizontal="left" vertical="center"/>
    </xf>
    <xf numFmtId="0" fontId="79" fillId="0" borderId="14" applyFill="0">
      <alignment horizontal="center" vertical="top"/>
    </xf>
    <xf numFmtId="0" fontId="8" fillId="0" borderId="14" applyFill="0">
      <alignment horizontal="left" vertical="top" wrapText="1"/>
    </xf>
    <xf numFmtId="0" fontId="8" fillId="9" borderId="23">
      <alignment horizontal="center" vertical="top" wrapText="1"/>
    </xf>
    <xf numFmtId="0" fontId="79" fillId="0" borderId="24" applyFill="0">
      <alignment horizontal="center" vertical="center"/>
    </xf>
    <xf numFmtId="0" fontId="79" fillId="0" borderId="17" applyFill="0">
      <alignment horizontal="center" vertical="center"/>
    </xf>
    <xf numFmtId="49" fontId="8" fillId="0" borderId="17" applyFill="0">
      <alignment horizontal="left" vertical="center" wrapText="1"/>
    </xf>
    <xf numFmtId="49" fontId="8" fillId="0" borderId="17" applyFill="0">
      <alignment horizontal="center" vertical="center" wrapText="1"/>
    </xf>
    <xf numFmtId="0" fontId="79" fillId="0" borderId="17" applyFill="0">
      <alignment horizontal="left" vertical="center" wrapText="1"/>
    </xf>
    <xf numFmtId="49" fontId="79" fillId="0" borderId="17" applyFill="0">
      <alignment horizontal="left" vertical="center" wrapText="1"/>
    </xf>
    <xf numFmtId="49" fontId="8" fillId="0" borderId="18" applyFill="0">
      <alignment horizontal="left" vertical="center" wrapText="1"/>
    </xf>
    <xf numFmtId="0" fontId="8" fillId="0" borderId="0" applyFill="0" applyBorder="0">
      <alignment horizontal="left" vertical="center" indent="1"/>
    </xf>
    <xf numFmtId="0" fontId="8" fillId="9" borderId="33">
      <alignment horizontal="center" vertical="top" wrapText="1"/>
    </xf>
    <xf numFmtId="0" fontId="79" fillId="0" borderId="19" applyFill="0">
      <alignment horizontal="center" vertical="center"/>
    </xf>
    <xf numFmtId="0" fontId="28" fillId="0" borderId="20" applyFill="0">
      <alignment horizontal="left" vertical="center"/>
    </xf>
    <xf numFmtId="49" fontId="79" fillId="0" borderId="14" applyFill="0">
      <alignment vertical="top"/>
    </xf>
    <xf numFmtId="49" fontId="79" fillId="0" borderId="14" applyFill="0">
      <alignment horizontal="left" vertical="top"/>
    </xf>
    <xf numFmtId="0" fontId="8" fillId="9" borderId="21">
      <alignment horizontal="center" vertical="top" wrapText="1"/>
    </xf>
    <xf numFmtId="0" fontId="28" fillId="0" borderId="26" applyFill="0">
      <alignment horizontal="left" vertical="center"/>
    </xf>
    <xf numFmtId="0" fontId="28" fillId="0" borderId="36" applyFill="0">
      <alignment horizontal="left" vertical="center"/>
    </xf>
    <xf numFmtId="0" fontId="79" fillId="0" borderId="36" applyFill="0">
      <alignment vertical="center"/>
    </xf>
    <xf numFmtId="0" fontId="28" fillId="0" borderId="25" applyFill="0">
      <alignment horizontal="left" vertical="center"/>
    </xf>
    <xf numFmtId="0" fontId="8" fillId="7" borderId="14">
      <alignment horizontal="left" vertical="top" wrapText="1"/>
      <protection locked="0"/>
    </xf>
    <xf numFmtId="49" fontId="8" fillId="0" borderId="0" applyFill="0" applyBorder="0">
      <alignment horizontal="left" vertical="center" indent="1"/>
    </xf>
    <xf numFmtId="0" fontId="79" fillId="7" borderId="14">
      <alignment horizontal="left" vertical="top"/>
      <protection locked="0"/>
    </xf>
    <xf numFmtId="0" fontId="79" fillId="0" borderId="23" applyFill="0">
      <alignment horizontal="center" vertical="top"/>
    </xf>
    <xf numFmtId="0" fontId="8" fillId="0" borderId="23" applyFill="0">
      <alignment horizontal="left" vertical="top" wrapText="1"/>
    </xf>
    <xf numFmtId="0" fontId="79" fillId="0" borderId="33" applyFill="0">
      <alignment horizontal="center" vertical="top"/>
    </xf>
    <xf numFmtId="0" fontId="8" fillId="0" borderId="33" applyFill="0">
      <alignment horizontal="left" vertical="top" wrapText="1"/>
    </xf>
    <xf numFmtId="0" fontId="79" fillId="0" borderId="21" applyFill="0">
      <alignment horizontal="center" vertical="top"/>
    </xf>
    <xf numFmtId="0" fontId="8" fillId="0" borderId="21" applyFill="0">
      <alignment horizontal="left" vertical="top" wrapText="1"/>
    </xf>
    <xf numFmtId="0" fontId="79" fillId="0" borderId="0" applyFill="0" applyBorder="0">
      <alignment horizontal="left" vertical="top" wrapText="1"/>
    </xf>
    <xf numFmtId="0" fontId="79" fillId="0" borderId="0" quotePrefix="1" applyFill="0" applyBorder="0">
      <alignment horizontal="left" vertical="top" wrapText="1" indent="1"/>
    </xf>
    <xf numFmtId="49" fontId="24" fillId="0" borderId="0" applyFill="0" applyBorder="0">
      <alignment vertical="top"/>
    </xf>
    <xf numFmtId="49" fontId="24" fillId="0" borderId="0" applyFill="0" applyBorder="0">
      <alignment horizontal="center" vertical="center"/>
    </xf>
    <xf numFmtId="49" fontId="36" fillId="0" borderId="0" applyFill="0" applyBorder="0">
      <alignment vertical="top"/>
    </xf>
    <xf numFmtId="0" fontId="8" fillId="0" borderId="17" applyFill="0">
      <alignment horizontal="left" vertical="center" wrapText="1" indent="1"/>
    </xf>
    <xf numFmtId="0" fontId="8" fillId="0" borderId="36" applyFill="0">
      <alignment horizontal="left" vertical="center" wrapText="1" indent="1"/>
    </xf>
    <xf numFmtId="0" fontId="8" fillId="0" borderId="24" applyFill="0">
      <alignment horizontal="center" vertical="center" wrapText="1"/>
    </xf>
    <xf numFmtId="0" fontId="8" fillId="0" borderId="18" applyFill="0">
      <alignment horizontal="center" vertical="center" wrapText="1"/>
    </xf>
    <xf numFmtId="0" fontId="8" fillId="0" borderId="33" applyFill="0">
      <alignment horizontal="center" vertical="center" wrapText="1"/>
    </xf>
    <xf numFmtId="0" fontId="8" fillId="0" borderId="23" applyFill="0">
      <alignment horizontal="center" vertical="center" wrapText="1"/>
    </xf>
    <xf numFmtId="0" fontId="8" fillId="0" borderId="19" applyFill="0">
      <alignment horizontal="center" vertical="center" wrapText="1"/>
    </xf>
    <xf numFmtId="0" fontId="8" fillId="0" borderId="20" applyFill="0">
      <alignment horizontal="center" vertical="center" wrapText="1"/>
    </xf>
    <xf numFmtId="0" fontId="8" fillId="0" borderId="26" applyFill="0">
      <alignment horizontal="center" vertical="center" wrapText="1"/>
    </xf>
    <xf numFmtId="0" fontId="8" fillId="0" borderId="25" applyFill="0">
      <alignment horizontal="center" vertical="center" wrapText="1"/>
    </xf>
    <xf numFmtId="49" fontId="8" fillId="0" borderId="0" applyFill="0" applyBorder="0">
      <alignment vertical="top"/>
    </xf>
    <xf numFmtId="49" fontId="8" fillId="0" borderId="14" applyFill="0">
      <alignment horizontal="center" vertical="center"/>
    </xf>
    <xf numFmtId="0" fontId="8" fillId="0" borderId="14" applyFill="0">
      <alignment horizontal="left" vertical="center" wrapText="1"/>
    </xf>
    <xf numFmtId="49" fontId="8" fillId="9" borderId="23">
      <alignment horizontal="center" vertical="center" wrapText="1"/>
    </xf>
    <xf numFmtId="49" fontId="8" fillId="0" borderId="24" applyFill="0">
      <alignment vertical="center" wrapText="1"/>
    </xf>
    <xf numFmtId="0" fontId="8" fillId="0" borderId="17" applyFill="0">
      <alignment horizontal="center" vertical="center"/>
    </xf>
    <xf numFmtId="49" fontId="8" fillId="0" borderId="17" applyFill="0">
      <alignment vertical="center" wrapText="1"/>
    </xf>
    <xf numFmtId="49" fontId="30" fillId="0" borderId="17" applyFill="0">
      <alignment vertical="center" wrapText="1"/>
    </xf>
    <xf numFmtId="0" fontId="8" fillId="0" borderId="17" applyFill="0">
      <alignment horizontal="left" vertical="center" wrapText="1"/>
    </xf>
    <xf numFmtId="49" fontId="8" fillId="9" borderId="33">
      <alignment horizontal="center" vertical="center" wrapText="1"/>
    </xf>
    <xf numFmtId="49" fontId="8" fillId="0" borderId="19" applyFill="0">
      <alignment vertical="center" wrapText="1"/>
    </xf>
    <xf numFmtId="0" fontId="28" fillId="0" borderId="19" applyFill="0">
      <alignment horizontal="left" vertical="center"/>
    </xf>
    <xf numFmtId="49" fontId="8" fillId="0" borderId="23" applyFill="0">
      <alignment horizontal="center" vertical="center"/>
    </xf>
    <xf numFmtId="0" fontId="8" fillId="0" borderId="23" applyFill="0">
      <alignment horizontal="left" vertical="center" wrapText="1"/>
    </xf>
    <xf numFmtId="0" fontId="8" fillId="0" borderId="24" applyFill="0">
      <alignment horizontal="left" vertical="center" wrapText="1"/>
    </xf>
    <xf numFmtId="49" fontId="36" fillId="0" borderId="26" applyFill="0">
      <alignment vertical="top"/>
    </xf>
    <xf numFmtId="49" fontId="36" fillId="0" borderId="36" applyFill="0">
      <alignment vertical="top"/>
    </xf>
    <xf numFmtId="49" fontId="9" fillId="0" borderId="0" applyFill="0" applyBorder="0">
      <alignment vertical="top"/>
    </xf>
    <xf numFmtId="0" fontId="8" fillId="0" borderId="12" applyFill="0">
      <alignment horizontal="left" vertical="center" wrapText="1"/>
    </xf>
    <xf numFmtId="0" fontId="8" fillId="8" borderId="0" applyBorder="0"/>
    <xf numFmtId="0" fontId="79" fillId="8" borderId="0" applyBorder="0"/>
    <xf numFmtId="0" fontId="24" fillId="8" borderId="0" applyBorder="0"/>
    <xf numFmtId="0" fontId="21" fillId="8" borderId="0" applyBorder="0">
      <alignment horizontal="center"/>
    </xf>
    <xf numFmtId="0" fontId="21" fillId="8" borderId="0" applyBorder="0"/>
    <xf numFmtId="0" fontId="37" fillId="8" borderId="0" applyBorder="0">
      <alignment horizontal="right" vertical="center"/>
    </xf>
    <xf numFmtId="0" fontId="24" fillId="8" borderId="0" applyBorder="0">
      <alignment vertical="center" wrapText="1"/>
    </xf>
    <xf numFmtId="0" fontId="16" fillId="8" borderId="0" applyBorder="0">
      <alignment horizontal="left" vertical="center" wrapText="1"/>
    </xf>
    <xf numFmtId="49" fontId="79" fillId="8" borderId="14">
      <alignment horizontal="center" vertical="center" wrapText="1"/>
    </xf>
    <xf numFmtId="49" fontId="8" fillId="8" borderId="14">
      <alignment horizontal="center" vertical="center" wrapText="1"/>
    </xf>
    <xf numFmtId="0" fontId="79" fillId="8" borderId="14">
      <alignment horizontal="center" vertical="center" wrapText="1"/>
    </xf>
    <xf numFmtId="0" fontId="8" fillId="8" borderId="14">
      <alignment horizontal="center" vertical="center" wrapText="1"/>
    </xf>
    <xf numFmtId="0" fontId="27" fillId="8" borderId="0" applyBorder="0">
      <alignment horizontal="center" vertical="center"/>
    </xf>
    <xf numFmtId="49" fontId="24" fillId="0" borderId="14" applyFill="0">
      <alignment horizontal="center" vertical="center"/>
    </xf>
    <xf numFmtId="0" fontId="24" fillId="0" borderId="14" applyFill="0">
      <alignment vertical="center" wrapText="1"/>
    </xf>
    <xf numFmtId="0" fontId="24" fillId="0" borderId="14" applyFill="0">
      <alignment horizontal="left" vertical="center" wrapText="1"/>
    </xf>
    <xf numFmtId="0" fontId="38" fillId="8" borderId="0" applyBorder="0"/>
    <xf numFmtId="49" fontId="79" fillId="8" borderId="14">
      <alignment horizontal="center" vertical="center"/>
    </xf>
    <xf numFmtId="0" fontId="79" fillId="8" borderId="14">
      <alignment vertical="center" wrapText="1"/>
    </xf>
    <xf numFmtId="0" fontId="8" fillId="8" borderId="14">
      <alignment vertical="center" wrapText="1"/>
    </xf>
    <xf numFmtId="0" fontId="79" fillId="8" borderId="14">
      <alignment horizontal="left" vertical="center" wrapText="1" indent="1"/>
    </xf>
    <xf numFmtId="49" fontId="79" fillId="7" borderId="14">
      <alignment horizontal="left" vertical="center" wrapText="1"/>
      <protection locked="0"/>
    </xf>
    <xf numFmtId="0" fontId="24" fillId="0" borderId="14" applyFill="0">
      <alignment horizontal="left" vertical="center" wrapText="1" indent="1"/>
    </xf>
    <xf numFmtId="49" fontId="8" fillId="8" borderId="0" applyBorder="0">
      <alignment horizontal="center" vertical="center" wrapText="1"/>
    </xf>
    <xf numFmtId="0" fontId="8" fillId="8" borderId="20">
      <alignment horizontal="center" vertical="center" wrapText="1"/>
    </xf>
    <xf numFmtId="0" fontId="79" fillId="8" borderId="14">
      <alignment horizontal="center" vertical="center"/>
    </xf>
    <xf numFmtId="0" fontId="79" fillId="8" borderId="14">
      <alignment horizontal="left" vertical="center" wrapText="1" indent="2"/>
    </xf>
    <xf numFmtId="49" fontId="79" fillId="0" borderId="14" applyFill="0">
      <alignment horizontal="left" vertical="center" wrapText="1"/>
    </xf>
    <xf numFmtId="49" fontId="8" fillId="8" borderId="0" applyBorder="0">
      <alignment vertical="center" wrapText="1"/>
    </xf>
    <xf numFmtId="0" fontId="8" fillId="8" borderId="20">
      <alignment vertical="center" wrapText="1"/>
    </xf>
    <xf numFmtId="0" fontId="8" fillId="10" borderId="12">
      <alignment horizontal="center"/>
    </xf>
    <xf numFmtId="0" fontId="37" fillId="10" borderId="16">
      <alignment horizontal="left" vertical="center"/>
    </xf>
    <xf numFmtId="0" fontId="37" fillId="10" borderId="11">
      <alignment horizontal="left" vertical="center"/>
    </xf>
    <xf numFmtId="49" fontId="24" fillId="8" borderId="14">
      <alignment horizontal="center" vertical="center"/>
    </xf>
    <xf numFmtId="0" fontId="24" fillId="8" borderId="14">
      <alignment vertical="center" wrapText="1"/>
    </xf>
    <xf numFmtId="0" fontId="24" fillId="8" borderId="14">
      <alignment horizontal="left" vertical="center" wrapText="1" indent="1"/>
    </xf>
    <xf numFmtId="0" fontId="24" fillId="8" borderId="14">
      <alignment horizontal="left" vertical="center" wrapText="1" indent="2"/>
    </xf>
    <xf numFmtId="49" fontId="24" fillId="0" borderId="14" applyFill="0">
      <alignment horizontal="left" vertical="center" wrapText="1"/>
    </xf>
    <xf numFmtId="0" fontId="79" fillId="8" borderId="14">
      <alignment horizontal="left" vertical="center" wrapText="1"/>
    </xf>
    <xf numFmtId="49" fontId="79" fillId="4" borderId="14">
      <alignment horizontal="left" vertical="center" wrapText="1"/>
      <protection locked="0"/>
    </xf>
    <xf numFmtId="0" fontId="79" fillId="8" borderId="23">
      <alignment horizontal="left" vertical="center" wrapText="1"/>
    </xf>
    <xf numFmtId="0" fontId="8" fillId="8" borderId="23">
      <alignment horizontal="left" vertical="top" wrapText="1"/>
    </xf>
    <xf numFmtId="49" fontId="79" fillId="0" borderId="14" applyFill="0">
      <alignment horizontal="left" vertical="center" wrapText="1" indent="1"/>
    </xf>
    <xf numFmtId="0" fontId="8" fillId="8" borderId="33">
      <alignment horizontal="left" vertical="top" wrapText="1"/>
    </xf>
    <xf numFmtId="0" fontId="30" fillId="8" borderId="0" applyBorder="0">
      <alignment horizontal="center" vertical="center" wrapText="1"/>
    </xf>
    <xf numFmtId="49" fontId="79" fillId="7" borderId="14">
      <alignment horizontal="left" vertical="center" wrapText="1" indent="1"/>
      <protection locked="0"/>
    </xf>
    <xf numFmtId="49" fontId="8" fillId="7" borderId="12">
      <alignment horizontal="left" vertical="center" wrapText="1"/>
      <protection locked="0"/>
    </xf>
    <xf numFmtId="0" fontId="8" fillId="8" borderId="21">
      <alignment horizontal="left" vertical="top" wrapText="1"/>
    </xf>
    <xf numFmtId="0" fontId="39" fillId="8" borderId="0" applyBorder="0"/>
    <xf numFmtId="49" fontId="8" fillId="7" borderId="14" quotePrefix="1">
      <alignment horizontal="left" vertical="center" wrapText="1"/>
      <protection locked="0"/>
    </xf>
    <xf numFmtId="49" fontId="8" fillId="4" borderId="14">
      <alignment horizontal="left" vertical="center" wrapText="1"/>
      <protection locked="0"/>
    </xf>
    <xf numFmtId="49" fontId="8" fillId="9" borderId="14">
      <alignment horizontal="left" vertical="center" wrapText="1"/>
    </xf>
    <xf numFmtId="0" fontId="79" fillId="8" borderId="12">
      <alignment horizontal="left" vertical="center" wrapText="1" indent="1"/>
    </xf>
    <xf numFmtId="49" fontId="8" fillId="9" borderId="12">
      <alignment horizontal="left" vertical="center" wrapText="1"/>
    </xf>
    <xf numFmtId="0" fontId="79" fillId="8" borderId="14">
      <alignment vertical="top" wrapText="1"/>
    </xf>
    <xf numFmtId="0" fontId="79" fillId="8" borderId="12">
      <alignment horizontal="left" vertical="center" wrapText="1"/>
    </xf>
    <xf numFmtId="0" fontId="79" fillId="8" borderId="21">
      <alignment vertical="center" wrapText="1"/>
    </xf>
    <xf numFmtId="0" fontId="29" fillId="0" borderId="0" applyFill="0" applyBorder="0">
      <alignment horizontal="left" vertical="top" wrapText="1" indent="1"/>
    </xf>
    <xf numFmtId="0" fontId="40" fillId="8" borderId="0" applyBorder="0"/>
    <xf numFmtId="0" fontId="33" fillId="8" borderId="0" applyBorder="0">
      <alignment horizontal="center"/>
    </xf>
    <xf numFmtId="0" fontId="33" fillId="8" borderId="0" applyBorder="0"/>
    <xf numFmtId="0" fontId="41" fillId="8" borderId="0" applyBorder="0">
      <alignment horizontal="right" vertical="center"/>
    </xf>
    <xf numFmtId="0" fontId="42" fillId="8" borderId="0" applyBorder="0">
      <alignment vertical="center"/>
    </xf>
    <xf numFmtId="0" fontId="41" fillId="8" borderId="0" applyBorder="0">
      <alignment horizontal="right" vertical="top"/>
    </xf>
    <xf numFmtId="0" fontId="42" fillId="8" borderId="0" applyBorder="0">
      <alignment vertical="center" wrapText="1"/>
    </xf>
    <xf numFmtId="0" fontId="79" fillId="8" borderId="0" applyBorder="0">
      <alignment horizontal="center"/>
    </xf>
    <xf numFmtId="0" fontId="18" fillId="0" borderId="0" applyFill="0" applyBorder="0">
      <alignment horizontal="center" vertical="center" wrapText="1"/>
    </xf>
    <xf numFmtId="0" fontId="43" fillId="8" borderId="0" applyBorder="0">
      <alignment horizontal="center" vertical="center" wrapText="1"/>
    </xf>
    <xf numFmtId="0" fontId="43" fillId="8" borderId="0" applyBorder="0">
      <alignment horizontal="right" vertical="center" wrapText="1"/>
    </xf>
    <xf numFmtId="0" fontId="43" fillId="0" borderId="0" applyFill="0" applyBorder="0">
      <alignment vertical="center" wrapText="1"/>
    </xf>
    <xf numFmtId="0" fontId="8" fillId="0" borderId="25" applyFill="0">
      <alignment horizontal="left" vertical="center" wrapText="1" indent="1"/>
    </xf>
    <xf numFmtId="0" fontId="8" fillId="0" borderId="21" applyFill="0">
      <alignment horizontal="left" vertical="center" wrapText="1" indent="1"/>
    </xf>
    <xf numFmtId="0" fontId="8" fillId="0" borderId="26" applyFill="0">
      <alignment horizontal="left" vertical="center" wrapText="1" indent="1"/>
    </xf>
    <xf numFmtId="0" fontId="44" fillId="8" borderId="0" applyBorder="0">
      <alignment horizontal="center" vertical="center" wrapText="1"/>
    </xf>
    <xf numFmtId="0" fontId="79" fillId="0" borderId="12" applyFill="0">
      <alignment horizontal="center" vertical="center" wrapText="1"/>
    </xf>
    <xf numFmtId="0" fontId="79" fillId="0" borderId="16" applyFill="0">
      <alignment horizontal="center" vertical="center" wrapText="1"/>
    </xf>
    <xf numFmtId="0" fontId="79" fillId="0" borderId="11" applyFill="0">
      <alignment horizontal="center" vertical="center" wrapText="1"/>
    </xf>
    <xf numFmtId="0" fontId="79" fillId="0" borderId="23" applyFill="0">
      <alignment horizontal="center" vertical="center" wrapText="1"/>
    </xf>
    <xf numFmtId="0" fontId="79" fillId="0" borderId="24" applyFill="0">
      <alignment horizontal="center" vertical="center" wrapText="1"/>
    </xf>
    <xf numFmtId="0" fontId="79" fillId="0" borderId="18" applyFill="0">
      <alignment horizontal="center" vertical="center" wrapText="1"/>
    </xf>
    <xf numFmtId="0" fontId="79" fillId="0" borderId="21" applyFill="0">
      <alignment horizontal="center" vertical="center" wrapText="1"/>
    </xf>
    <xf numFmtId="0" fontId="79" fillId="0" borderId="26" applyFill="0">
      <alignment horizontal="center" vertical="center" wrapText="1"/>
    </xf>
    <xf numFmtId="0" fontId="79" fillId="0" borderId="25" applyFill="0">
      <alignment horizontal="center" vertical="center" wrapText="1"/>
    </xf>
    <xf numFmtId="0" fontId="27" fillId="8" borderId="0" applyBorder="0">
      <alignment horizontal="center" vertical="center" wrapText="1"/>
    </xf>
    <xf numFmtId="49" fontId="27" fillId="8" borderId="0" applyBorder="0">
      <alignment horizontal="center" vertical="center" wrapText="1"/>
    </xf>
    <xf numFmtId="0" fontId="45" fillId="8" borderId="0" applyBorder="0">
      <alignment horizontal="center" vertical="center" wrapText="1"/>
    </xf>
    <xf numFmtId="49" fontId="35" fillId="0" borderId="23" applyFill="0">
      <alignment horizontal="left" vertical="center" wrapText="1"/>
    </xf>
    <xf numFmtId="49" fontId="35" fillId="0" borderId="14" applyFill="0">
      <alignment horizontal="left" vertical="center" wrapText="1"/>
    </xf>
    <xf numFmtId="49" fontId="79" fillId="0" borderId="14" applyFill="0">
      <alignment vertical="top" wrapText="1"/>
    </xf>
    <xf numFmtId="0" fontId="35" fillId="0" borderId="0" applyFill="0" applyBorder="0">
      <alignment vertical="center" wrapText="1"/>
    </xf>
    <xf numFmtId="49" fontId="79" fillId="0" borderId="14" applyFill="0">
      <alignment horizontal="center" vertical="center" wrapText="1"/>
    </xf>
    <xf numFmtId="0" fontId="8" fillId="9" borderId="12">
      <alignment horizontal="left" vertical="center" wrapText="1"/>
    </xf>
    <xf numFmtId="49" fontId="27" fillId="8" borderId="14">
      <alignment horizontal="center" vertical="center" wrapText="1"/>
    </xf>
    <xf numFmtId="4" fontId="79" fillId="7" borderId="14">
      <alignment horizontal="right" vertical="center" wrapText="1"/>
      <protection locked="0"/>
    </xf>
    <xf numFmtId="3" fontId="79" fillId="7" borderId="14">
      <alignment horizontal="right" vertical="center" wrapText="1"/>
      <protection locked="0"/>
    </xf>
    <xf numFmtId="4" fontId="79" fillId="7" borderId="11">
      <alignment horizontal="right" vertical="center" wrapText="1"/>
      <protection locked="0"/>
    </xf>
    <xf numFmtId="0" fontId="79" fillId="4" borderId="14">
      <alignment horizontal="right" vertical="center" wrapText="1"/>
      <protection locked="0"/>
    </xf>
    <xf numFmtId="3" fontId="79" fillId="0" borderId="11" applyFill="0">
      <alignment horizontal="right" vertical="center" wrapText="1"/>
    </xf>
    <xf numFmtId="0" fontId="79" fillId="0" borderId="23" applyFill="0">
      <alignment horizontal="left" vertical="top" wrapText="1"/>
    </xf>
    <xf numFmtId="49" fontId="12" fillId="10" borderId="12">
      <alignment horizontal="center" vertical="center"/>
    </xf>
    <xf numFmtId="0" fontId="28" fillId="10" borderId="16">
      <alignment vertical="center"/>
    </xf>
    <xf numFmtId="49" fontId="28" fillId="10" borderId="16">
      <alignment vertical="center"/>
    </xf>
    <xf numFmtId="49" fontId="37" fillId="10" borderId="16">
      <alignment vertical="center"/>
    </xf>
    <xf numFmtId="49" fontId="37" fillId="10" borderId="11">
      <alignment vertical="center"/>
    </xf>
    <xf numFmtId="0" fontId="79" fillId="0" borderId="21" applyFill="0">
      <alignment horizontal="left" vertical="top" wrapText="1"/>
    </xf>
    <xf numFmtId="49" fontId="79" fillId="0" borderId="24" applyFill="0">
      <alignment horizontal="center" vertical="center" wrapText="1"/>
    </xf>
    <xf numFmtId="0" fontId="8" fillId="9" borderId="17">
      <alignment horizontal="left" vertical="center" wrapText="1"/>
    </xf>
    <xf numFmtId="0" fontId="30" fillId="8" borderId="14">
      <alignment horizontal="center" vertical="center" wrapText="1"/>
    </xf>
    <xf numFmtId="49" fontId="8" fillId="7" borderId="14">
      <alignment horizontal="left" vertical="center" wrapText="1"/>
      <protection locked="0"/>
    </xf>
    <xf numFmtId="3" fontId="8" fillId="7" borderId="14">
      <alignment horizontal="right" vertical="center" wrapText="1"/>
      <protection locked="0"/>
    </xf>
    <xf numFmtId="49" fontId="79" fillId="0" borderId="26" applyFill="0">
      <alignment horizontal="center" vertical="center" wrapText="1"/>
    </xf>
    <xf numFmtId="0" fontId="8" fillId="9" borderId="36">
      <alignment horizontal="left" vertical="center" wrapText="1"/>
    </xf>
    <xf numFmtId="0" fontId="8" fillId="0" borderId="17" applyFill="0">
      <alignment horizontal="left" vertical="top" wrapText="1" indent="1"/>
    </xf>
    <xf numFmtId="0" fontId="10" fillId="8" borderId="0" applyBorder="0">
      <alignment horizontal="right" vertical="center"/>
    </xf>
    <xf numFmtId="0" fontId="10" fillId="8" borderId="0" applyBorder="0">
      <alignment horizontal="right" vertical="center" wrapText="1"/>
    </xf>
    <xf numFmtId="49" fontId="27" fillId="8" borderId="16">
      <alignment horizontal="center" vertical="center" wrapText="1"/>
    </xf>
    <xf numFmtId="49" fontId="8" fillId="0" borderId="14" applyFill="0">
      <alignment horizontal="left" vertical="center" wrapText="1"/>
    </xf>
    <xf numFmtId="0" fontId="30" fillId="8" borderId="20">
      <alignment vertical="top" wrapText="1"/>
    </xf>
    <xf numFmtId="14" fontId="8" fillId="10" borderId="16">
      <alignment horizontal="center" vertical="center" wrapText="1"/>
    </xf>
    <xf numFmtId="14" fontId="34" fillId="10" borderId="16">
      <alignment horizontal="center" vertical="center" wrapText="1"/>
    </xf>
    <xf numFmtId="49" fontId="17" fillId="10" borderId="11">
      <alignment horizontal="left" vertical="center" wrapText="1"/>
    </xf>
    <xf numFmtId="0" fontId="79" fillId="0" borderId="33" applyFill="0">
      <alignment horizontal="left" vertical="top" wrapText="1"/>
    </xf>
    <xf numFmtId="0" fontId="30" fillId="8" borderId="0" applyBorder="0">
      <alignment vertical="top" wrapText="1"/>
    </xf>
    <xf numFmtId="0" fontId="24" fillId="8" borderId="21">
      <alignment horizontal="center" vertical="center" wrapText="1"/>
    </xf>
    <xf numFmtId="14" fontId="8" fillId="9" borderId="21">
      <alignment horizontal="left" vertical="center" wrapText="1"/>
    </xf>
    <xf numFmtId="14" fontId="8" fillId="9" borderId="14">
      <alignment horizontal="center" vertical="center" wrapText="1"/>
    </xf>
    <xf numFmtId="49" fontId="17" fillId="7" borderId="14">
      <alignment horizontal="left" vertical="center" wrapText="1"/>
      <protection locked="0"/>
    </xf>
    <xf numFmtId="0" fontId="24" fillId="0" borderId="0" applyFill="0" applyBorder="0">
      <alignment horizontal="left" vertical="center" wrapText="1"/>
    </xf>
    <xf numFmtId="49" fontId="24" fillId="0" borderId="0" applyFill="0" applyBorder="0">
      <alignment horizontal="left" vertical="center" wrapText="1"/>
    </xf>
    <xf numFmtId="49" fontId="12" fillId="10" borderId="16">
      <alignment horizontal="center" vertical="center"/>
    </xf>
    <xf numFmtId="49" fontId="37" fillId="10" borderId="16">
      <alignment horizontal="left" vertical="center" indent="1"/>
    </xf>
    <xf numFmtId="49" fontId="37" fillId="10" borderId="11">
      <alignment horizontal="left" vertical="center" indent="1"/>
    </xf>
    <xf numFmtId="0" fontId="29" fillId="0" borderId="0" applyFill="0" applyBorder="0">
      <alignment vertical="top"/>
    </xf>
    <xf numFmtId="0" fontId="18" fillId="0" borderId="14" applyFill="0">
      <alignment horizontal="center" vertical="center"/>
    </xf>
    <xf numFmtId="49" fontId="8" fillId="0" borderId="20" applyFill="0">
      <alignment vertical="top"/>
    </xf>
    <xf numFmtId="0" fontId="8" fillId="8" borderId="14">
      <alignment horizontal="left" vertical="center" wrapText="1"/>
    </xf>
    <xf numFmtId="0" fontId="8" fillId="0" borderId="14" applyFill="0">
      <alignment vertical="center" wrapText="1"/>
    </xf>
    <xf numFmtId="0" fontId="8" fillId="0" borderId="14" applyFill="0">
      <alignment horizontal="left" vertical="center" wrapText="1" indent="6"/>
    </xf>
    <xf numFmtId="0" fontId="8" fillId="6" borderId="12">
      <alignment horizontal="left" vertical="center" wrapText="1"/>
    </xf>
    <xf numFmtId="0" fontId="8" fillId="6" borderId="16">
      <alignment horizontal="left" vertical="center" wrapText="1"/>
    </xf>
    <xf numFmtId="0" fontId="8" fillId="6" borderId="11">
      <alignment horizontal="left" vertical="center" wrapText="1"/>
    </xf>
    <xf numFmtId="0" fontId="29" fillId="0" borderId="14" applyFill="0">
      <alignment vertical="top" wrapText="1"/>
    </xf>
    <xf numFmtId="0" fontId="18" fillId="0" borderId="12" applyFill="0">
      <alignment horizontal="center" vertical="center"/>
    </xf>
    <xf numFmtId="0" fontId="26" fillId="8" borderId="0" applyBorder="0">
      <alignment horizontal="center" vertical="center" wrapText="1"/>
    </xf>
    <xf numFmtId="0" fontId="8" fillId="0" borderId="20" applyFill="0">
      <alignment vertical="center" wrapText="1"/>
    </xf>
    <xf numFmtId="0" fontId="8" fillId="8" borderId="14">
      <alignment horizontal="left" vertical="center" wrapText="1" indent="1"/>
    </xf>
    <xf numFmtId="0" fontId="8" fillId="8" borderId="14">
      <alignment horizontal="left" vertical="center" wrapText="1" indent="2"/>
    </xf>
    <xf numFmtId="0" fontId="8" fillId="8" borderId="14">
      <alignment horizontal="left" vertical="center" wrapText="1" indent="3"/>
    </xf>
    <xf numFmtId="0" fontId="18" fillId="0" borderId="14" applyFill="0">
      <alignment horizontal="center" vertical="center" wrapText="1"/>
    </xf>
    <xf numFmtId="0" fontId="18" fillId="0" borderId="0" applyFill="0" applyBorder="0">
      <alignment horizontal="center" vertical="center"/>
    </xf>
    <xf numFmtId="0" fontId="24" fillId="0" borderId="20" applyFill="0">
      <alignment horizontal="center" vertical="center" wrapText="1"/>
    </xf>
    <xf numFmtId="0" fontId="8" fillId="8" borderId="14">
      <alignment horizontal="left" vertical="center" wrapText="1" indent="4"/>
    </xf>
    <xf numFmtId="0" fontId="8" fillId="9" borderId="16">
      <alignment horizontal="left" vertical="center" wrapText="1"/>
    </xf>
    <xf numFmtId="0" fontId="8" fillId="9" borderId="11">
      <alignment horizontal="left" vertical="center" wrapText="1"/>
    </xf>
    <xf numFmtId="0" fontId="18" fillId="0" borderId="12" applyFill="0">
      <alignment horizontal="center" vertical="center" wrapText="1"/>
    </xf>
    <xf numFmtId="0" fontId="24" fillId="0" borderId="20" applyFill="0">
      <alignment vertical="center" wrapText="1"/>
    </xf>
    <xf numFmtId="0" fontId="8" fillId="8" borderId="14">
      <alignment horizontal="left" vertical="center" wrapText="1" indent="5"/>
    </xf>
    <xf numFmtId="0" fontId="8" fillId="9" borderId="14">
      <alignment horizontal="left" vertical="center" wrapText="1" indent="6"/>
    </xf>
    <xf numFmtId="4" fontId="8" fillId="4" borderId="14">
      <alignment horizontal="right" vertical="center" wrapText="1"/>
      <protection locked="0"/>
    </xf>
    <xf numFmtId="4" fontId="8" fillId="0" borderId="14" applyFill="0">
      <alignment horizontal="right" vertical="center" wrapText="1"/>
    </xf>
    <xf numFmtId="170" fontId="8" fillId="4" borderId="14">
      <alignment horizontal="right" vertical="center" wrapText="1"/>
      <protection locked="0"/>
    </xf>
    <xf numFmtId="168" fontId="79" fillId="7" borderId="14">
      <alignment horizontal="center" vertical="center" wrapText="1"/>
      <protection locked="0"/>
    </xf>
    <xf numFmtId="0" fontId="29" fillId="0" borderId="23" applyFill="0">
      <alignment horizontal="left" vertical="top" wrapText="1"/>
    </xf>
    <xf numFmtId="4" fontId="24" fillId="0" borderId="14" applyFill="0">
      <alignment horizontal="center" vertical="center" wrapText="1"/>
    </xf>
    <xf numFmtId="49" fontId="79" fillId="7" borderId="14">
      <alignment horizontal="center" vertical="center" wrapText="1"/>
      <protection locked="0"/>
    </xf>
    <xf numFmtId="0" fontId="29" fillId="0" borderId="33" applyFill="0">
      <alignment horizontal="left" vertical="top" wrapText="1"/>
    </xf>
    <xf numFmtId="49" fontId="37" fillId="10" borderId="12">
      <alignment horizontal="left" vertical="center"/>
    </xf>
    <xf numFmtId="49" fontId="28" fillId="10" borderId="16">
      <alignment horizontal="left" vertical="center" indent="6"/>
    </xf>
    <xf numFmtId="49" fontId="8" fillId="10" borderId="11">
      <alignment horizontal="center" vertical="center" wrapText="1"/>
    </xf>
    <xf numFmtId="0" fontId="29" fillId="0" borderId="21" applyFill="0">
      <alignment horizontal="left" vertical="top" wrapText="1"/>
    </xf>
    <xf numFmtId="49" fontId="28" fillId="10" borderId="16">
      <alignment horizontal="left" vertical="center" indent="5"/>
    </xf>
    <xf numFmtId="49" fontId="79" fillId="10" borderId="16">
      <alignment horizontal="center" vertical="center" wrapText="1"/>
    </xf>
    <xf numFmtId="49" fontId="79" fillId="10" borderId="11">
      <alignment horizontal="center" vertical="center" wrapText="1"/>
    </xf>
    <xf numFmtId="49" fontId="28" fillId="10" borderId="16">
      <alignment horizontal="left" vertical="center" indent="4"/>
    </xf>
    <xf numFmtId="49" fontId="46" fillId="0" borderId="17" applyFill="0">
      <alignment horizontal="left" vertical="center"/>
    </xf>
    <xf numFmtId="49" fontId="24" fillId="0" borderId="17" applyFill="0">
      <alignment horizontal="left" vertical="center" indent="3"/>
    </xf>
    <xf numFmtId="49" fontId="24" fillId="0" borderId="17" applyFill="0">
      <alignment horizontal="center" vertical="center" wrapText="1"/>
    </xf>
    <xf numFmtId="49" fontId="24" fillId="0" borderId="0" applyFill="0" applyBorder="0">
      <alignment horizontal="left" vertical="center" indent="2"/>
    </xf>
    <xf numFmtId="49" fontId="24" fillId="0" borderId="0" applyFill="0" applyBorder="0">
      <alignment horizontal="left" vertical="center" indent="1"/>
    </xf>
    <xf numFmtId="4" fontId="18" fillId="0" borderId="14" applyFill="0">
      <alignment horizontal="right" vertical="center" wrapText="1"/>
    </xf>
    <xf numFmtId="170" fontId="18" fillId="0" borderId="14" applyFill="0">
      <alignment horizontal="right" vertical="center" wrapText="1"/>
    </xf>
    <xf numFmtId="168" fontId="18" fillId="0" borderId="14" applyFill="0">
      <alignment horizontal="center" vertical="center" wrapText="1"/>
    </xf>
    <xf numFmtId="49" fontId="18" fillId="0" borderId="14" applyFill="0">
      <alignment horizontal="center" vertical="center" wrapText="1"/>
    </xf>
    <xf numFmtId="49" fontId="18" fillId="0" borderId="14" applyFill="0">
      <alignment vertical="center" wrapText="1"/>
    </xf>
    <xf numFmtId="0" fontId="47" fillId="8" borderId="0" applyBorder="0">
      <alignment vertical="center" wrapText="1"/>
    </xf>
    <xf numFmtId="0" fontId="8" fillId="8" borderId="0" applyBorder="0">
      <alignment horizontal="left" vertical="center" wrapText="1"/>
    </xf>
    <xf numFmtId="0" fontId="12" fillId="8" borderId="0" applyBorder="0">
      <alignment horizontal="center" vertical="center" wrapText="1"/>
    </xf>
    <xf numFmtId="0" fontId="79" fillId="8" borderId="14">
      <alignment horizontal="right" vertical="center" wrapText="1" indent="1"/>
    </xf>
    <xf numFmtId="0" fontId="79" fillId="0" borderId="16" applyFill="0">
      <alignment vertical="center"/>
    </xf>
    <xf numFmtId="0" fontId="8" fillId="6" borderId="14">
      <alignment horizontal="left" vertical="center" wrapText="1" indent="1"/>
    </xf>
    <xf numFmtId="168" fontId="8" fillId="6" borderId="14">
      <alignment horizontal="left" vertical="center" wrapText="1" indent="1"/>
    </xf>
    <xf numFmtId="0" fontId="8" fillId="8" borderId="36">
      <alignment vertical="center" wrapText="1"/>
    </xf>
    <xf numFmtId="0" fontId="30" fillId="0" borderId="36" applyFill="0">
      <alignment horizontal="center" vertical="center" wrapText="1"/>
    </xf>
    <xf numFmtId="0" fontId="8" fillId="0" borderId="23" applyFill="0">
      <alignment vertical="center" wrapText="1"/>
    </xf>
    <xf numFmtId="0" fontId="79" fillId="8" borderId="12">
      <alignment horizontal="center" vertical="center" wrapText="1"/>
    </xf>
    <xf numFmtId="0" fontId="79" fillId="8" borderId="16">
      <alignment horizontal="center" vertical="center" wrapText="1"/>
    </xf>
    <xf numFmtId="0" fontId="79" fillId="8" borderId="11">
      <alignment horizontal="center" vertical="center" wrapText="1"/>
    </xf>
    <xf numFmtId="0" fontId="8" fillId="8" borderId="23">
      <alignment horizontal="center" vertical="center" wrapText="1"/>
    </xf>
    <xf numFmtId="49" fontId="28" fillId="10" borderId="23">
      <alignment horizontal="center" vertical="center" textRotation="90" wrapText="1"/>
    </xf>
    <xf numFmtId="0" fontId="8" fillId="0" borderId="33" applyFill="0">
      <alignment vertical="center" wrapText="1"/>
    </xf>
    <xf numFmtId="0" fontId="18" fillId="0" borderId="23" applyFill="0">
      <alignment horizontal="center" vertical="center" wrapText="1"/>
    </xf>
    <xf numFmtId="0" fontId="8" fillId="8" borderId="33">
      <alignment horizontal="center" vertical="center" wrapText="1"/>
    </xf>
    <xf numFmtId="49" fontId="28" fillId="10" borderId="33">
      <alignment horizontal="center" vertical="center" textRotation="90" wrapText="1"/>
    </xf>
    <xf numFmtId="0" fontId="8" fillId="0" borderId="21" applyFill="0">
      <alignment vertical="center" wrapText="1"/>
    </xf>
    <xf numFmtId="0" fontId="18" fillId="0" borderId="21" applyFill="0">
      <alignment horizontal="center" vertical="center" wrapText="1"/>
    </xf>
    <xf numFmtId="0" fontId="8" fillId="8" borderId="21">
      <alignment horizontal="center" vertical="center" wrapText="1"/>
    </xf>
    <xf numFmtId="49" fontId="28" fillId="10" borderId="21">
      <alignment horizontal="center" vertical="center" textRotation="90" wrapText="1"/>
    </xf>
    <xf numFmtId="0" fontId="48" fillId="8" borderId="0" applyBorder="0">
      <alignment vertical="center" wrapText="1"/>
    </xf>
    <xf numFmtId="0" fontId="49" fillId="8" borderId="0" applyBorder="0">
      <alignment vertical="center" wrapText="1"/>
    </xf>
    <xf numFmtId="49" fontId="45" fillId="8" borderId="17">
      <alignment horizontal="left" vertical="center" wrapText="1"/>
    </xf>
    <xf numFmtId="49" fontId="45" fillId="8" borderId="17">
      <alignment horizontal="center" vertical="center" wrapText="1"/>
    </xf>
    <xf numFmtId="0" fontId="24" fillId="8" borderId="17">
      <alignment horizontal="center" vertical="center" wrapText="1"/>
    </xf>
    <xf numFmtId="0" fontId="45" fillId="8" borderId="17">
      <alignment horizontal="center" vertical="center" wrapText="1"/>
    </xf>
    <xf numFmtId="0" fontId="18" fillId="0" borderId="0" applyFill="0" applyBorder="0">
      <alignment horizontal="left" vertical="center" indent="1"/>
    </xf>
    <xf numFmtId="168" fontId="79" fillId="7" borderId="23">
      <alignment horizontal="center" vertical="center" wrapText="1"/>
      <protection locked="0"/>
    </xf>
    <xf numFmtId="4" fontId="8" fillId="0" borderId="23" applyFill="0">
      <alignment horizontal="right" vertical="center" wrapText="1"/>
    </xf>
    <xf numFmtId="49" fontId="79" fillId="7" borderId="21">
      <alignment horizontal="center" vertical="center" wrapText="1"/>
      <protection locked="0"/>
    </xf>
    <xf numFmtId="4" fontId="8" fillId="0" borderId="21" applyFill="0">
      <alignment horizontal="right" vertical="center" wrapText="1"/>
    </xf>
    <xf numFmtId="49" fontId="8" fillId="0" borderId="0" applyFill="0" applyBorder="0">
      <alignment vertical="center" wrapText="1"/>
    </xf>
    <xf numFmtId="0" fontId="47" fillId="0" borderId="0" applyFill="0" applyBorder="0">
      <alignment vertical="center" wrapText="1"/>
    </xf>
    <xf numFmtId="0" fontId="8" fillId="0" borderId="14" applyFill="0">
      <alignment horizontal="center" vertical="center"/>
    </xf>
    <xf numFmtId="0" fontId="8" fillId="0" borderId="12" applyFill="0">
      <alignment horizontal="center" vertical="center"/>
    </xf>
    <xf numFmtId="0" fontId="8" fillId="0" borderId="0" applyFill="0" applyBorder="0">
      <alignment horizontal="center" vertical="center"/>
    </xf>
    <xf numFmtId="49" fontId="8" fillId="0" borderId="14" applyFill="0">
      <alignment vertical="center" wrapText="1"/>
    </xf>
    <xf numFmtId="0" fontId="35" fillId="0" borderId="0" applyFill="0" applyBorder="0">
      <alignment horizontal="left" vertical="center" indent="1"/>
    </xf>
    <xf numFmtId="170" fontId="8" fillId="0" borderId="14" applyFill="0">
      <alignment horizontal="right" vertical="center" wrapText="1"/>
    </xf>
    <xf numFmtId="0" fontId="79" fillId="8" borderId="17">
      <alignment horizontal="center" vertical="center" wrapText="1"/>
    </xf>
    <xf numFmtId="0" fontId="24" fillId="0" borderId="23" applyFill="0">
      <alignment horizontal="center" vertical="center" wrapText="1"/>
    </xf>
    <xf numFmtId="0" fontId="24" fillId="0" borderId="14" applyFill="0">
      <alignment horizontal="left" vertical="center" wrapText="1" indent="4"/>
    </xf>
    <xf numFmtId="0" fontId="24" fillId="0" borderId="14" applyFill="0">
      <alignment horizontal="left" vertical="center" wrapText="1" indent="6"/>
    </xf>
    <xf numFmtId="0" fontId="24" fillId="0" borderId="12" applyFill="0">
      <alignment horizontal="left" vertical="center" wrapText="1"/>
    </xf>
    <xf numFmtId="0" fontId="24" fillId="0" borderId="16" applyFill="0">
      <alignment horizontal="left" vertical="center" wrapText="1"/>
    </xf>
    <xf numFmtId="0" fontId="24" fillId="0" borderId="11" applyFill="0">
      <alignment horizontal="left" vertical="center" wrapText="1"/>
    </xf>
    <xf numFmtId="0" fontId="24" fillId="0" borderId="14" applyFill="0">
      <alignment vertical="top" wrapText="1"/>
    </xf>
    <xf numFmtId="49" fontId="46" fillId="0" borderId="12" applyFill="0">
      <alignment horizontal="left" vertical="center"/>
    </xf>
    <xf numFmtId="49" fontId="24" fillId="0" borderId="16" applyFill="0">
      <alignment horizontal="left" vertical="center" indent="4"/>
    </xf>
    <xf numFmtId="49" fontId="24" fillId="0" borderId="16" applyFill="0">
      <alignment horizontal="center" vertical="center" wrapText="1"/>
    </xf>
    <xf numFmtId="49" fontId="24" fillId="0" borderId="11" applyFill="0">
      <alignment horizontal="center" vertical="center" wrapText="1"/>
    </xf>
    <xf numFmtId="0" fontId="24" fillId="0" borderId="0" applyFill="0" applyBorder="0">
      <alignment horizontal="center" vertical="center"/>
    </xf>
    <xf numFmtId="0" fontId="8" fillId="8" borderId="23">
      <alignment horizontal="left" vertical="center" wrapText="1"/>
    </xf>
    <xf numFmtId="0" fontId="8" fillId="8" borderId="23">
      <alignment horizontal="left" vertical="center" wrapText="1" indent="2"/>
    </xf>
    <xf numFmtId="0" fontId="8" fillId="0" borderId="23" applyFill="0">
      <alignment horizontal="left" vertical="center" wrapText="1" indent="6"/>
    </xf>
    <xf numFmtId="0" fontId="8" fillId="6" borderId="24">
      <alignment horizontal="left" vertical="center" wrapText="1"/>
    </xf>
    <xf numFmtId="0" fontId="8" fillId="6" borderId="17">
      <alignment horizontal="left" vertical="center" wrapText="1"/>
    </xf>
    <xf numFmtId="0" fontId="8" fillId="6" borderId="18">
      <alignment horizontal="left" vertical="center" wrapText="1"/>
    </xf>
    <xf numFmtId="0" fontId="8" fillId="6" borderId="14">
      <alignment horizontal="left" vertical="center" wrapText="1"/>
    </xf>
    <xf numFmtId="0" fontId="29" fillId="0" borderId="11" applyFill="0">
      <alignment vertical="top" wrapText="1"/>
    </xf>
    <xf numFmtId="0" fontId="24" fillId="0" borderId="11" applyFill="0">
      <alignment vertical="top" wrapText="1"/>
    </xf>
    <xf numFmtId="0" fontId="8" fillId="9" borderId="14">
      <alignment horizontal="left" vertical="center" wrapText="1"/>
    </xf>
    <xf numFmtId="0" fontId="8" fillId="8" borderId="21">
      <alignment horizontal="left" vertical="center" wrapText="1"/>
    </xf>
    <xf numFmtId="0" fontId="8" fillId="9" borderId="21">
      <alignment horizontal="left" vertical="center" wrapText="1" indent="6"/>
    </xf>
    <xf numFmtId="0" fontId="8" fillId="0" borderId="21" applyFill="0">
      <alignment horizontal="left" vertical="center" wrapText="1" indent="6"/>
    </xf>
    <xf numFmtId="4" fontId="8" fillId="4" borderId="21">
      <alignment horizontal="right" vertical="center" wrapText="1"/>
      <protection locked="0"/>
    </xf>
    <xf numFmtId="170" fontId="8" fillId="4" borderId="21">
      <alignment horizontal="right" vertical="center" wrapText="1"/>
      <protection locked="0"/>
    </xf>
    <xf numFmtId="168" fontId="79" fillId="7" borderId="21">
      <alignment horizontal="center" vertical="center" wrapText="1"/>
      <protection locked="0"/>
    </xf>
    <xf numFmtId="0" fontId="8" fillId="9" borderId="18">
      <alignment horizontal="left" vertical="center" wrapText="1"/>
    </xf>
    <xf numFmtId="170" fontId="8" fillId="4" borderId="12">
      <alignment horizontal="right" vertical="center" wrapText="1"/>
      <protection locked="0"/>
    </xf>
    <xf numFmtId="4" fontId="8" fillId="4" borderId="11">
      <alignment horizontal="right" vertical="center" wrapText="1"/>
      <protection locked="0"/>
    </xf>
    <xf numFmtId="0" fontId="29" fillId="0" borderId="23" applyFill="0">
      <alignment vertical="top" wrapText="1"/>
    </xf>
    <xf numFmtId="0" fontId="8" fillId="4" borderId="14">
      <alignment horizontal="left" vertical="center" wrapText="1" indent="7"/>
      <protection locked="0"/>
    </xf>
    <xf numFmtId="4" fontId="24" fillId="0" borderId="12" applyFill="0">
      <alignment horizontal="center" vertical="center" wrapText="1"/>
    </xf>
    <xf numFmtId="4" fontId="8" fillId="0" borderId="11" applyFill="0">
      <alignment horizontal="right" vertical="center" wrapText="1"/>
    </xf>
    <xf numFmtId="0" fontId="8" fillId="10" borderId="16">
      <alignment horizontal="left" vertical="center" wrapText="1" indent="6"/>
    </xf>
    <xf numFmtId="4" fontId="8" fillId="10" borderId="16">
      <alignment horizontal="right" vertical="center" wrapText="1"/>
    </xf>
    <xf numFmtId="4" fontId="24" fillId="10" borderId="16">
      <alignment horizontal="center" vertical="center" wrapText="1"/>
    </xf>
    <xf numFmtId="4" fontId="8" fillId="10" borderId="11">
      <alignment horizontal="right" vertical="center" wrapText="1"/>
    </xf>
    <xf numFmtId="49" fontId="8" fillId="10" borderId="36">
      <alignment horizontal="center" vertical="center" wrapText="1"/>
    </xf>
    <xf numFmtId="0" fontId="8" fillId="0" borderId="17" applyFill="0">
      <alignment horizontal="center" vertical="center" wrapText="1"/>
    </xf>
    <xf numFmtId="0" fontId="8" fillId="0" borderId="36" applyFill="0">
      <alignment horizontal="center" vertical="center" wrapText="1"/>
    </xf>
    <xf numFmtId="0" fontId="79" fillId="0" borderId="33" applyFill="0">
      <alignment horizontal="center" vertical="center" wrapText="1"/>
    </xf>
    <xf numFmtId="0" fontId="35" fillId="0" borderId="0" applyFill="0" applyBorder="0">
      <alignment horizontal="center" vertical="center"/>
    </xf>
    <xf numFmtId="0" fontId="25" fillId="8" borderId="0" applyBorder="0">
      <alignment horizontal="center" vertical="center" wrapText="1"/>
    </xf>
    <xf numFmtId="0" fontId="24" fillId="0" borderId="14" applyFill="0">
      <alignment horizontal="left" vertical="center" wrapText="1" indent="5"/>
    </xf>
    <xf numFmtId="0" fontId="24" fillId="0" borderId="20" applyFill="0">
      <alignment horizontal="center" vertical="top" wrapText="1"/>
    </xf>
    <xf numFmtId="49" fontId="8" fillId="7" borderId="23">
      <alignment horizontal="left" vertical="center" wrapText="1" indent="6"/>
      <protection locked="0"/>
    </xf>
    <xf numFmtId="0" fontId="30" fillId="0" borderId="14" applyFill="0">
      <alignment horizontal="center" vertical="center" wrapText="1"/>
    </xf>
    <xf numFmtId="0" fontId="8" fillId="0" borderId="14" applyFill="0">
      <alignment horizontal="left" vertical="center" wrapText="1" indent="4"/>
    </xf>
    <xf numFmtId="0" fontId="8" fillId="8" borderId="33">
      <alignment horizontal="left" vertical="center" wrapText="1"/>
    </xf>
    <xf numFmtId="49" fontId="8" fillId="7" borderId="33">
      <alignment horizontal="left" vertical="center" wrapText="1" indent="6"/>
      <protection locked="0"/>
    </xf>
    <xf numFmtId="170" fontId="8" fillId="10" borderId="11">
      <alignment horizontal="right" vertical="center" wrapText="1"/>
    </xf>
    <xf numFmtId="49" fontId="28" fillId="10" borderId="12">
      <alignment horizontal="left" vertical="center"/>
    </xf>
    <xf numFmtId="170" fontId="8" fillId="10" borderId="16">
      <alignment horizontal="right" vertical="center" wrapText="1"/>
    </xf>
    <xf numFmtId="4" fontId="8" fillId="0" borderId="33" applyFill="0">
      <alignment horizontal="right" vertical="center" wrapText="1"/>
    </xf>
    <xf numFmtId="49" fontId="28" fillId="10" borderId="12">
      <alignment horizontal="left" vertical="center" indent="1"/>
    </xf>
    <xf numFmtId="49" fontId="8" fillId="7" borderId="21">
      <alignment horizontal="left" vertical="center" wrapText="1" indent="6"/>
      <protection locked="0"/>
    </xf>
    <xf numFmtId="4" fontId="24" fillId="10" borderId="11">
      <alignment horizontal="center" vertical="center" wrapText="1"/>
    </xf>
    <xf numFmtId="49" fontId="28" fillId="10" borderId="12">
      <alignment vertical="center" wrapText="1"/>
    </xf>
    <xf numFmtId="49" fontId="28" fillId="10" borderId="16">
      <alignment vertical="center" wrapText="1"/>
    </xf>
    <xf numFmtId="49" fontId="24" fillId="0" borderId="20" applyFill="0">
      <alignment vertical="top"/>
    </xf>
    <xf numFmtId="49" fontId="24" fillId="0" borderId="0" applyFill="0" applyBorder="0">
      <alignment horizontal="center" vertical="center" wrapText="1"/>
    </xf>
    <xf numFmtId="0" fontId="24" fillId="0" borderId="20" applyFill="0">
      <alignment horizontal="left" vertical="center" wrapText="1" indent="1"/>
    </xf>
    <xf numFmtId="4" fontId="24" fillId="0" borderId="14" applyFill="0">
      <alignment horizontal="right" vertical="center" wrapText="1"/>
    </xf>
    <xf numFmtId="170" fontId="24" fillId="0" borderId="14" applyFill="0">
      <alignment horizontal="right" vertical="center" wrapText="1"/>
    </xf>
    <xf numFmtId="168" fontId="24" fillId="0" borderId="14" applyFill="0">
      <alignment horizontal="center" vertical="center" wrapText="1"/>
    </xf>
    <xf numFmtId="49" fontId="24" fillId="0" borderId="14" applyFill="0">
      <alignment horizontal="center" vertical="center" wrapText="1"/>
    </xf>
    <xf numFmtId="0" fontId="18" fillId="0" borderId="0" applyFill="0" applyBorder="0">
      <alignment horizontal="left" vertical="center"/>
    </xf>
    <xf numFmtId="0" fontId="50" fillId="8" borderId="0" applyBorder="0">
      <alignment vertical="center" wrapText="1"/>
    </xf>
    <xf numFmtId="0" fontId="8" fillId="8" borderId="24">
      <alignment horizontal="center" vertical="center" wrapText="1"/>
    </xf>
    <xf numFmtId="0" fontId="79" fillId="8" borderId="24">
      <alignment horizontal="center" vertical="center" wrapText="1"/>
    </xf>
    <xf numFmtId="0" fontId="79" fillId="8" borderId="18">
      <alignment horizontal="center" vertical="center" wrapText="1"/>
    </xf>
    <xf numFmtId="0" fontId="8" fillId="8" borderId="19">
      <alignment horizontal="center" vertical="center" wrapText="1"/>
    </xf>
    <xf numFmtId="0" fontId="79" fillId="8" borderId="19">
      <alignment horizontal="center" vertical="center" wrapText="1"/>
    </xf>
    <xf numFmtId="0" fontId="79" fillId="8" borderId="0" applyBorder="0">
      <alignment horizontal="center" vertical="center" wrapText="1"/>
    </xf>
    <xf numFmtId="0" fontId="79" fillId="8" borderId="20">
      <alignment horizontal="center" vertical="center" wrapText="1"/>
    </xf>
    <xf numFmtId="0" fontId="8" fillId="6" borderId="14">
      <alignment horizontal="center" vertical="center" wrapText="1"/>
    </xf>
    <xf numFmtId="0" fontId="8" fillId="7" borderId="14">
      <alignment horizontal="center" vertical="center" wrapText="1"/>
      <protection locked="0"/>
    </xf>
    <xf numFmtId="0" fontId="8" fillId="8" borderId="26">
      <alignment horizontal="center" vertical="center" wrapText="1"/>
    </xf>
    <xf numFmtId="0" fontId="79" fillId="8" borderId="26">
      <alignment horizontal="center" vertical="center" wrapText="1"/>
    </xf>
    <xf numFmtId="0" fontId="79" fillId="8" borderId="36">
      <alignment horizontal="center" vertical="center" wrapText="1"/>
    </xf>
    <xf numFmtId="0" fontId="79" fillId="8" borderId="25">
      <alignment horizontal="center" vertical="center" wrapText="1"/>
    </xf>
    <xf numFmtId="0" fontId="8" fillId="0" borderId="14" applyFill="0">
      <alignment horizontal="left" vertical="center" wrapText="1" indent="1"/>
    </xf>
    <xf numFmtId="49" fontId="8" fillId="10" borderId="12">
      <alignment horizontal="center" vertical="center" wrapText="1"/>
    </xf>
    <xf numFmtId="49" fontId="35" fillId="0" borderId="20" applyFill="0">
      <alignment vertical="top"/>
    </xf>
    <xf numFmtId="0" fontId="50" fillId="0" borderId="0" applyFill="0" applyBorder="0">
      <alignment vertical="center" wrapText="1"/>
    </xf>
    <xf numFmtId="0" fontId="8" fillId="4" borderId="12">
      <alignment horizontal="left" vertical="center" wrapText="1"/>
      <protection locked="0"/>
    </xf>
    <xf numFmtId="0" fontId="8" fillId="4" borderId="16">
      <alignment horizontal="left" vertical="center" wrapText="1"/>
      <protection locked="0"/>
    </xf>
    <xf numFmtId="0" fontId="8" fillId="4" borderId="11">
      <alignment horizontal="left" vertical="center" wrapText="1"/>
      <protection locked="0"/>
    </xf>
    <xf numFmtId="49" fontId="8" fillId="4" borderId="12">
      <alignment horizontal="left" vertical="center" wrapText="1"/>
      <protection locked="0"/>
    </xf>
    <xf numFmtId="49" fontId="8" fillId="4" borderId="16">
      <alignment horizontal="left" vertical="center" wrapText="1"/>
      <protection locked="0"/>
    </xf>
    <xf numFmtId="49" fontId="8" fillId="4" borderId="11">
      <alignment horizontal="left" vertical="center" wrapText="1"/>
      <protection locked="0"/>
    </xf>
    <xf numFmtId="49" fontId="8" fillId="4" borderId="14">
      <alignment horizontal="left" vertical="center" wrapText="1" indent="6"/>
      <protection locked="0"/>
    </xf>
    <xf numFmtId="4" fontId="8" fillId="0" borderId="24" applyFill="0">
      <alignment horizontal="right" vertical="center" wrapText="1"/>
    </xf>
    <xf numFmtId="0" fontId="29" fillId="0" borderId="14" applyFill="0">
      <alignment horizontal="left" vertical="top" wrapText="1"/>
    </xf>
    <xf numFmtId="4" fontId="8" fillId="0" borderId="26" applyFill="0">
      <alignment horizontal="right" vertical="center" wrapText="1"/>
    </xf>
    <xf numFmtId="49" fontId="79" fillId="10" borderId="25">
      <alignment horizontal="center" vertical="center" wrapText="1"/>
    </xf>
    <xf numFmtId="49" fontId="28" fillId="10" borderId="16">
      <alignment horizontal="left" vertical="center" indent="3"/>
    </xf>
    <xf numFmtId="49" fontId="8" fillId="4" borderId="23">
      <alignment horizontal="left" vertical="center" wrapText="1" indent="6"/>
      <protection locked="0"/>
    </xf>
    <xf numFmtId="4" fontId="8" fillId="7" borderId="14">
      <alignment horizontal="left" vertical="center" wrapText="1" indent="1"/>
      <protection locked="0"/>
    </xf>
    <xf numFmtId="0" fontId="8" fillId="0" borderId="0" applyFill="0" applyBorder="0">
      <alignment horizontal="left" vertical="center"/>
    </xf>
    <xf numFmtId="0" fontId="8" fillId="7" borderId="11">
      <alignment horizontal="center" vertical="center" wrapText="1"/>
      <protection locked="0"/>
    </xf>
    <xf numFmtId="0" fontId="8" fillId="8" borderId="25">
      <alignment horizontal="center" vertical="center" wrapText="1"/>
    </xf>
    <xf numFmtId="0" fontId="51" fillId="8" borderId="0" applyBorder="0">
      <alignment horizontal="center" vertical="center" wrapText="1"/>
    </xf>
    <xf numFmtId="0" fontId="24" fillId="8" borderId="14">
      <alignment horizontal="left" vertical="center" wrapText="1" indent="3"/>
    </xf>
    <xf numFmtId="4" fontId="8" fillId="7" borderId="14">
      <alignment horizontal="center" vertical="center" wrapText="1"/>
      <protection locked="0"/>
    </xf>
    <xf numFmtId="49" fontId="8" fillId="9" borderId="18">
      <alignment horizontal="center" vertical="center" wrapText="1"/>
    </xf>
    <xf numFmtId="49" fontId="8" fillId="4" borderId="33">
      <alignment horizontal="left" vertical="center" wrapText="1" indent="6"/>
      <protection locked="0"/>
    </xf>
    <xf numFmtId="49" fontId="8" fillId="9" borderId="25">
      <alignment horizontal="center" vertical="center" wrapText="1"/>
    </xf>
    <xf numFmtId="49" fontId="28" fillId="10" borderId="36">
      <alignment horizontal="left" vertical="center"/>
    </xf>
    <xf numFmtId="49" fontId="8" fillId="4" borderId="21">
      <alignment horizontal="left" vertical="center" wrapText="1" indent="6"/>
      <protection locked="0"/>
    </xf>
    <xf numFmtId="0" fontId="24" fillId="0" borderId="17" applyFill="0">
      <alignment horizontal="left" vertical="center" wrapText="1"/>
    </xf>
    <xf numFmtId="0" fontId="8" fillId="0" borderId="37" applyFill="0">
      <alignment horizontal="center" vertical="center" wrapText="1"/>
    </xf>
    <xf numFmtId="0" fontId="8" fillId="7" borderId="14">
      <alignment horizontal="left" vertical="center" wrapText="1" indent="2"/>
      <protection locked="0"/>
    </xf>
    <xf numFmtId="0" fontId="24" fillId="0" borderId="37" applyFill="0">
      <alignment horizontal="center" vertical="center" wrapText="1"/>
    </xf>
    <xf numFmtId="0" fontId="24" fillId="0" borderId="14" applyFill="0">
      <alignment horizontal="left" vertical="center" wrapText="1" indent="2"/>
    </xf>
    <xf numFmtId="0" fontId="8" fillId="0" borderId="14" applyFill="0">
      <alignment horizontal="left" vertical="center" wrapText="1" indent="3"/>
    </xf>
    <xf numFmtId="49" fontId="8" fillId="7" borderId="14">
      <alignment horizontal="center" vertical="center" wrapText="1"/>
      <protection locked="0"/>
    </xf>
    <xf numFmtId="0" fontId="8" fillId="4" borderId="14">
      <alignment horizontal="left" vertical="center" wrapText="1"/>
      <protection locked="0"/>
    </xf>
    <xf numFmtId="0" fontId="8" fillId="0" borderId="11" applyFill="0">
      <alignment vertical="top" wrapText="1"/>
    </xf>
    <xf numFmtId="171" fontId="8" fillId="4" borderId="14">
      <alignment horizontal="right" vertical="center" wrapText="1"/>
      <protection locked="0"/>
    </xf>
    <xf numFmtId="0" fontId="8" fillId="0" borderId="18" applyFill="0">
      <alignment vertical="center" wrapText="1"/>
    </xf>
    <xf numFmtId="0" fontId="46" fillId="8" borderId="0" applyBorder="0">
      <alignment horizontal="right" vertical="center"/>
    </xf>
    <xf numFmtId="0" fontId="8" fillId="0" borderId="12" applyFill="0">
      <alignment vertical="center" wrapText="1"/>
    </xf>
    <xf numFmtId="0" fontId="8" fillId="0" borderId="16" applyFill="0">
      <alignment horizontal="right" vertical="center" wrapText="1" indent="1"/>
    </xf>
    <xf numFmtId="0" fontId="8" fillId="0" borderId="11" applyFill="0">
      <alignment horizontal="right" vertical="center" wrapText="1" indent="1"/>
    </xf>
    <xf numFmtId="0" fontId="8" fillId="6" borderId="12">
      <alignment horizontal="left" vertical="top" wrapText="1"/>
    </xf>
    <xf numFmtId="0" fontId="8" fillId="0" borderId="12" applyFill="0">
      <alignment horizontal="right" vertical="center" wrapText="1"/>
    </xf>
    <xf numFmtId="0" fontId="8" fillId="0" borderId="16" applyFill="0">
      <alignment horizontal="right" vertical="center" wrapText="1"/>
    </xf>
    <xf numFmtId="4" fontId="8" fillId="7" borderId="14">
      <alignment horizontal="right" vertical="center" wrapText="1"/>
      <protection locked="0"/>
    </xf>
    <xf numFmtId="4" fontId="8" fillId="6" borderId="14">
      <alignment horizontal="right" vertical="center" wrapText="1"/>
    </xf>
    <xf numFmtId="49" fontId="14" fillId="3" borderId="0" applyBorder="0">
      <alignment horizontal="center" vertical="center" textRotation="90" wrapText="1"/>
    </xf>
    <xf numFmtId="0" fontId="35" fillId="0" borderId="0" applyFill="0" applyBorder="0">
      <alignment horizontal="center" vertical="center" wrapText="1"/>
    </xf>
    <xf numFmtId="49" fontId="35" fillId="0" borderId="37" applyFill="0">
      <alignment horizontal="center" vertical="center" wrapText="1"/>
    </xf>
    <xf numFmtId="0" fontId="35" fillId="0" borderId="14" applyFill="0">
      <alignment horizontal="left" vertical="center" wrapText="1" indent="2"/>
    </xf>
    <xf numFmtId="0" fontId="35" fillId="0" borderId="14" applyFill="0">
      <alignment horizontal="center" vertical="center" wrapText="1"/>
    </xf>
    <xf numFmtId="0" fontId="35" fillId="0" borderId="14" applyFill="0">
      <alignment vertical="center" wrapText="1"/>
    </xf>
    <xf numFmtId="0" fontId="35" fillId="0" borderId="37" applyFill="0">
      <alignment horizontal="center" vertical="center" wrapText="1"/>
    </xf>
    <xf numFmtId="0" fontId="35" fillId="0" borderId="14" applyFill="0">
      <alignment horizontal="left" vertical="center" wrapText="1" indent="3"/>
    </xf>
    <xf numFmtId="4" fontId="35" fillId="0" borderId="14" applyFill="0">
      <alignment horizontal="right" vertical="center" wrapText="1"/>
    </xf>
    <xf numFmtId="49" fontId="8" fillId="10" borderId="12">
      <alignment vertical="center" wrapText="1"/>
    </xf>
    <xf numFmtId="0" fontId="8" fillId="10" borderId="16">
      <alignment vertical="center" wrapText="1"/>
    </xf>
    <xf numFmtId="0" fontId="18" fillId="10" borderId="11">
      <alignment vertical="center" wrapText="1"/>
    </xf>
    <xf numFmtId="0" fontId="8" fillId="0" borderId="14" applyFill="0">
      <alignment horizontal="left" vertical="center" wrapText="1" indent="2"/>
    </xf>
    <xf numFmtId="49" fontId="14" fillId="3" borderId="0" applyBorder="0">
      <alignment horizontal="center" vertical="center" wrapText="1"/>
    </xf>
    <xf numFmtId="171" fontId="8" fillId="7" borderId="14">
      <alignment horizontal="right" vertical="center" wrapText="1"/>
      <protection locked="0"/>
    </xf>
    <xf numFmtId="0" fontId="18" fillId="0" borderId="0" applyFill="0" applyBorder="0">
      <alignment horizontal="left" vertical="center" wrapText="1"/>
    </xf>
    <xf numFmtId="4" fontId="8" fillId="6" borderId="23">
      <alignment horizontal="right" vertical="center" wrapText="1"/>
    </xf>
    <xf numFmtId="0" fontId="24" fillId="0" borderId="14" applyFill="0">
      <alignment horizontal="left" vertical="center" wrapText="1" indent="3"/>
    </xf>
    <xf numFmtId="49" fontId="24" fillId="0" borderId="14" applyFill="0">
      <alignment vertical="center" wrapText="1"/>
    </xf>
    <xf numFmtId="0" fontId="24" fillId="0" borderId="23" applyFill="0">
      <alignment vertical="top" wrapText="1"/>
    </xf>
    <xf numFmtId="0" fontId="8" fillId="0" borderId="12" applyFill="0">
      <alignment horizontal="left" vertical="center" wrapText="1" indent="2"/>
    </xf>
    <xf numFmtId="4" fontId="8" fillId="7" borderId="11">
      <alignment horizontal="right" vertical="center" wrapText="1"/>
      <protection locked="0"/>
    </xf>
    <xf numFmtId="0" fontId="8" fillId="0" borderId="12" applyFill="0">
      <alignment horizontal="left" vertical="center" wrapText="1" indent="1"/>
    </xf>
    <xf numFmtId="49" fontId="17" fillId="4" borderId="11">
      <alignment horizontal="left" vertical="center" wrapText="1"/>
      <protection locked="0"/>
    </xf>
    <xf numFmtId="49" fontId="17" fillId="4" borderId="14">
      <alignment horizontal="left" vertical="center" wrapText="1"/>
      <protection locked="0"/>
    </xf>
    <xf numFmtId="171" fontId="8" fillId="7" borderId="11">
      <alignment horizontal="right" vertical="center" wrapText="1"/>
      <protection locked="0"/>
    </xf>
    <xf numFmtId="171" fontId="8" fillId="6" borderId="11">
      <alignment horizontal="right" vertical="center" wrapText="1"/>
    </xf>
    <xf numFmtId="171" fontId="8" fillId="6" borderId="14">
      <alignment horizontal="right" vertical="center" wrapText="1"/>
    </xf>
    <xf numFmtId="4" fontId="8" fillId="7" borderId="25">
      <alignment horizontal="right" vertical="center" wrapText="1"/>
      <protection locked="0"/>
    </xf>
    <xf numFmtId="4" fontId="8" fillId="7" borderId="21">
      <alignment horizontal="right" vertical="center" wrapText="1"/>
      <protection locked="0"/>
    </xf>
    <xf numFmtId="0" fontId="24" fillId="0" borderId="33" applyFill="0">
      <alignment horizontal="left" vertical="center" wrapText="1" indent="1"/>
    </xf>
    <xf numFmtId="0" fontId="24" fillId="0" borderId="33" applyFill="0">
      <alignment horizontal="center" vertical="center" wrapText="1"/>
    </xf>
    <xf numFmtId="0" fontId="24" fillId="0" borderId="23" applyFill="0">
      <alignment vertical="center" wrapText="1"/>
    </xf>
    <xf numFmtId="49" fontId="8" fillId="10" borderId="24">
      <alignment vertical="center" wrapText="1"/>
    </xf>
    <xf numFmtId="49" fontId="28" fillId="10" borderId="17">
      <alignment horizontal="left" vertical="center" indent="1"/>
    </xf>
    <xf numFmtId="0" fontId="8" fillId="0" borderId="21" applyFill="0">
      <alignment vertical="top" wrapText="1"/>
    </xf>
    <xf numFmtId="171" fontId="8" fillId="7" borderId="23">
      <alignment horizontal="right" vertical="center" wrapText="1"/>
      <protection locked="0"/>
    </xf>
    <xf numFmtId="0" fontId="24" fillId="0" borderId="21" applyFill="0">
      <alignment horizontal="left" vertical="center" wrapText="1" indent="1"/>
    </xf>
    <xf numFmtId="0" fontId="24" fillId="0" borderId="23" applyFill="0">
      <alignment horizontal="left" vertical="center" wrapText="1" indent="1"/>
    </xf>
    <xf numFmtId="49" fontId="14" fillId="0" borderId="0" applyFill="0" applyBorder="0">
      <alignment horizontal="center" vertical="center" wrapText="1"/>
    </xf>
    <xf numFmtId="0" fontId="52" fillId="0" borderId="0" applyFill="0" applyBorder="0">
      <alignment vertical="center" wrapText="1"/>
    </xf>
    <xf numFmtId="0" fontId="8" fillId="0" borderId="17" applyFill="0">
      <alignment vertical="center" wrapText="1"/>
    </xf>
    <xf numFmtId="0" fontId="8" fillId="0" borderId="36" applyFill="0">
      <alignment vertical="center" wrapText="1"/>
    </xf>
    <xf numFmtId="0" fontId="53" fillId="8" borderId="0" applyBorder="0">
      <alignment horizontal="right" vertical="center"/>
    </xf>
    <xf numFmtId="0" fontId="79" fillId="0" borderId="0" applyFill="0" applyBorder="0">
      <alignment vertical="top"/>
    </xf>
    <xf numFmtId="49" fontId="24" fillId="0" borderId="23" applyFill="0">
      <alignment horizontal="center" vertical="center" wrapText="1"/>
    </xf>
    <xf numFmtId="0" fontId="79" fillId="0" borderId="12" applyFill="0">
      <alignment horizontal="right" vertical="center" wrapText="1" indent="1"/>
    </xf>
    <xf numFmtId="0" fontId="79" fillId="0" borderId="16" applyFill="0">
      <alignment horizontal="right" vertical="center" wrapText="1" indent="1"/>
    </xf>
    <xf numFmtId="0" fontId="79" fillId="0" borderId="11" applyFill="0">
      <alignment horizontal="right" vertical="center" wrapText="1" indent="1"/>
    </xf>
    <xf numFmtId="0" fontId="8" fillId="0" borderId="11" applyFill="0">
      <alignment horizontal="left" vertical="center" wrapText="1" indent="1"/>
    </xf>
    <xf numFmtId="49" fontId="24" fillId="0" borderId="19" applyFill="0">
      <alignment vertical="top"/>
    </xf>
    <xf numFmtId="0" fontId="54" fillId="0" borderId="0" applyFill="0" applyBorder="0">
      <alignment vertical="top"/>
    </xf>
    <xf numFmtId="0" fontId="55" fillId="0" borderId="0" applyFill="0" applyBorder="0">
      <alignment vertical="top"/>
    </xf>
    <xf numFmtId="49" fontId="24" fillId="0" borderId="33" applyFill="0">
      <alignment horizontal="center" vertical="center" wrapText="1"/>
    </xf>
    <xf numFmtId="0" fontId="8" fillId="0" borderId="21" applyFill="0">
      <alignment horizontal="left" vertical="center" wrapText="1"/>
    </xf>
    <xf numFmtId="2" fontId="8" fillId="0" borderId="21" applyFill="0">
      <alignment horizontal="center" vertical="center" wrapText="1"/>
    </xf>
    <xf numFmtId="0" fontId="24" fillId="0" borderId="19" applyFill="0">
      <alignment vertical="center" wrapText="1"/>
    </xf>
    <xf numFmtId="49" fontId="24" fillId="0" borderId="21" applyFill="0">
      <alignment horizontal="center" vertical="center" wrapText="1"/>
    </xf>
    <xf numFmtId="49" fontId="28" fillId="0" borderId="17" applyFill="0">
      <alignment horizontal="right" vertical="center"/>
    </xf>
    <xf numFmtId="49" fontId="9" fillId="0" borderId="0" applyFill="0" applyBorder="0">
      <alignment horizontal="center" vertical="center" wrapText="1"/>
    </xf>
    <xf numFmtId="0" fontId="18" fillId="12" borderId="14">
      <alignment horizontal="left" vertical="center" wrapText="1"/>
    </xf>
    <xf numFmtId="0" fontId="8" fillId="13" borderId="14">
      <alignment vertical="center"/>
    </xf>
    <xf numFmtId="49" fontId="79" fillId="14" borderId="14">
      <alignment horizontal="center" vertical="center" wrapText="1"/>
    </xf>
    <xf numFmtId="49" fontId="56" fillId="0" borderId="23" applyFill="0">
      <alignment horizontal="center" vertical="center" wrapText="1"/>
    </xf>
    <xf numFmtId="49" fontId="56" fillId="0" borderId="14" applyFill="0">
      <alignment horizontal="center" vertical="center" wrapText="1"/>
    </xf>
    <xf numFmtId="0" fontId="24" fillId="0" borderId="12" applyFill="0">
      <alignment vertical="center" wrapText="1"/>
    </xf>
    <xf numFmtId="0" fontId="8" fillId="0" borderId="17" applyFill="0">
      <alignment horizontal="right" vertical="center" wrapText="1" indent="1"/>
    </xf>
    <xf numFmtId="49" fontId="8" fillId="0" borderId="37" applyFill="0">
      <alignment horizontal="center" vertical="center" wrapText="1"/>
    </xf>
    <xf numFmtId="49" fontId="17" fillId="4" borderId="12">
      <alignment horizontal="left" vertical="center" wrapText="1"/>
      <protection locked="0"/>
    </xf>
    <xf numFmtId="0" fontId="57" fillId="0" borderId="0" applyFill="0" applyBorder="0">
      <alignment vertical="center" wrapText="1"/>
    </xf>
    <xf numFmtId="49" fontId="8" fillId="0" borderId="38" applyFill="0">
      <alignment horizontal="center" vertical="center" wrapText="1"/>
    </xf>
    <xf numFmtId="4" fontId="8" fillId="7" borderId="24">
      <alignment horizontal="right" vertical="center" wrapText="1"/>
      <protection locked="0"/>
    </xf>
    <xf numFmtId="4" fontId="8" fillId="7" borderId="23">
      <alignment horizontal="right" vertical="center" wrapText="1"/>
      <protection locked="0"/>
    </xf>
    <xf numFmtId="0" fontId="18" fillId="10" borderId="16">
      <alignment vertical="center" wrapText="1"/>
    </xf>
    <xf numFmtId="49" fontId="8" fillId="0" borderId="39" applyFill="0">
      <alignment horizontal="center" vertical="center" wrapText="1"/>
    </xf>
    <xf numFmtId="4" fontId="8" fillId="7" borderId="12">
      <alignment horizontal="right" vertical="center" wrapText="1"/>
      <protection locked="0"/>
    </xf>
    <xf numFmtId="49" fontId="8" fillId="0" borderId="40" applyFill="0">
      <alignment horizontal="center" vertical="center" wrapText="1"/>
    </xf>
    <xf numFmtId="3" fontId="8" fillId="7" borderId="12">
      <alignment horizontal="right" vertical="center" wrapText="1"/>
      <protection locked="0"/>
    </xf>
    <xf numFmtId="49" fontId="17" fillId="7" borderId="12">
      <alignment horizontal="left" vertical="center" wrapText="1"/>
      <protection locked="0"/>
    </xf>
    <xf numFmtId="49" fontId="58" fillId="0" borderId="0" applyFill="0" applyBorder="0">
      <alignment horizontal="center" vertical="center" wrapText="1"/>
    </xf>
    <xf numFmtId="0" fontId="8" fillId="0" borderId="14" applyFill="0">
      <alignment vertical="top" wrapText="1"/>
    </xf>
    <xf numFmtId="0" fontId="8" fillId="8" borderId="0" applyBorder="0">
      <alignment horizontal="right" vertical="center" wrapText="1"/>
    </xf>
    <xf numFmtId="0" fontId="8" fillId="8" borderId="0" applyBorder="0">
      <alignment horizontal="right" vertical="center"/>
    </xf>
    <xf numFmtId="0" fontId="8" fillId="8" borderId="12">
      <alignment horizontal="center" vertical="center" wrapText="1"/>
    </xf>
    <xf numFmtId="0" fontId="8" fillId="8" borderId="16">
      <alignment horizontal="center" vertical="center" wrapText="1"/>
    </xf>
    <xf numFmtId="0" fontId="8" fillId="8" borderId="18">
      <alignment horizontal="center" vertical="center" wrapText="1"/>
    </xf>
    <xf numFmtId="0" fontId="8" fillId="8" borderId="14">
      <alignment horizontal="center" vertical="center"/>
    </xf>
    <xf numFmtId="0" fontId="79" fillId="0" borderId="14" applyFill="0">
      <alignment horizontal="left" vertical="top" wrapText="1"/>
    </xf>
    <xf numFmtId="0" fontId="79" fillId="0" borderId="14" applyFill="0">
      <alignment horizontal="left" vertical="center" wrapText="1"/>
    </xf>
    <xf numFmtId="0" fontId="8" fillId="10" borderId="12">
      <alignment vertical="center" wrapText="1"/>
    </xf>
    <xf numFmtId="49" fontId="59" fillId="10" borderId="11">
      <alignment horizontal="center" vertical="top"/>
    </xf>
    <xf numFmtId="49" fontId="28" fillId="0" borderId="17" applyFill="0">
      <alignment horizontal="left" vertical="center"/>
    </xf>
    <xf numFmtId="49" fontId="28" fillId="0" borderId="17" applyFill="0">
      <alignment horizontal="left" vertical="center" indent="2"/>
    </xf>
    <xf numFmtId="49" fontId="59" fillId="0" borderId="17" applyFill="0">
      <alignment horizontal="center" vertical="top"/>
    </xf>
    <xf numFmtId="0" fontId="24" fillId="0" borderId="16" applyFill="0">
      <alignment horizontal="right" vertical="center" wrapText="1" indent="1"/>
    </xf>
    <xf numFmtId="0" fontId="24" fillId="0" borderId="11" applyFill="0">
      <alignment horizontal="right" vertical="center" wrapText="1" indent="1"/>
    </xf>
    <xf numFmtId="0" fontId="24" fillId="0" borderId="12" applyFill="0">
      <alignment horizontal="left" vertical="top" wrapText="1"/>
    </xf>
    <xf numFmtId="49" fontId="28" fillId="10" borderId="17">
      <alignment horizontal="left" vertical="center" indent="2"/>
    </xf>
    <xf numFmtId="49" fontId="79" fillId="0" borderId="14" applyFill="0">
      <alignment horizontal="left" vertical="center" wrapText="1" indent="2"/>
    </xf>
    <xf numFmtId="49" fontId="79" fillId="0" borderId="14" applyFill="0">
      <alignment vertical="center" wrapText="1"/>
    </xf>
    <xf numFmtId="0" fontId="8" fillId="0" borderId="0" applyFill="0" applyBorder="0">
      <alignment horizontal="right" vertical="top" wrapText="1"/>
    </xf>
    <xf numFmtId="0" fontId="8" fillId="0" borderId="0" applyFill="0" applyBorder="0">
      <alignment horizontal="left" vertical="top" wrapText="1"/>
    </xf>
    <xf numFmtId="0" fontId="24" fillId="0" borderId="36" applyFill="0">
      <alignment vertical="center" wrapText="1"/>
    </xf>
    <xf numFmtId="0" fontId="8" fillId="6" borderId="11">
      <alignment horizontal="left" vertical="top" wrapText="1"/>
    </xf>
    <xf numFmtId="49" fontId="8" fillId="15" borderId="0" applyBorder="0">
      <alignment horizontal="center" vertical="center" textRotation="90" wrapText="1"/>
    </xf>
    <xf numFmtId="0" fontId="60" fillId="0" borderId="19" applyFill="0">
      <alignment vertical="center" wrapText="1"/>
    </xf>
    <xf numFmtId="3" fontId="8" fillId="4" borderId="12">
      <alignment horizontal="right" vertical="center" wrapText="1"/>
      <protection locked="0"/>
    </xf>
    <xf numFmtId="4" fontId="8" fillId="4" borderId="12">
      <alignment horizontal="right" vertical="center" wrapText="1"/>
      <protection locked="0"/>
    </xf>
    <xf numFmtId="0" fontId="8" fillId="0" borderId="0" applyFill="0" applyBorder="0">
      <alignment vertical="top" wrapText="1"/>
    </xf>
    <xf numFmtId="0" fontId="8" fillId="0" borderId="0" applyFill="0" applyBorder="0">
      <alignment vertical="top"/>
    </xf>
    <xf numFmtId="49" fontId="17" fillId="0" borderId="14" applyFill="0">
      <alignment horizontal="left" vertical="center" wrapText="1"/>
    </xf>
    <xf numFmtId="49" fontId="8" fillId="0" borderId="41" applyFill="0">
      <alignment horizontal="center" vertical="center" wrapText="1"/>
    </xf>
    <xf numFmtId="0" fontId="8" fillId="0" borderId="41" applyFill="0">
      <alignment horizontal="left" vertical="center" wrapText="1"/>
    </xf>
    <xf numFmtId="4" fontId="8" fillId="0" borderId="42" applyFill="0">
      <alignment horizontal="center" vertical="center" wrapText="1"/>
    </xf>
    <xf numFmtId="49" fontId="17" fillId="0" borderId="26" applyFill="0">
      <alignment horizontal="left" vertical="center" wrapText="1"/>
    </xf>
    <xf numFmtId="49" fontId="8" fillId="0" borderId="43" applyFill="0">
      <alignment horizontal="center" vertical="center" wrapText="1"/>
    </xf>
    <xf numFmtId="0" fontId="8" fillId="0" borderId="44" applyFill="0">
      <alignment horizontal="left" vertical="center" wrapText="1" indent="1"/>
    </xf>
    <xf numFmtId="4" fontId="8" fillId="7" borderId="43">
      <alignment horizontal="right" vertical="center" wrapText="1"/>
      <protection locked="0"/>
    </xf>
    <xf numFmtId="49" fontId="17" fillId="0" borderId="12" applyFill="0">
      <alignment horizontal="left" vertical="center" wrapText="1"/>
    </xf>
    <xf numFmtId="4" fontId="8" fillId="0" borderId="23" applyFill="0">
      <alignment horizontal="center" vertical="center" wrapText="1"/>
    </xf>
    <xf numFmtId="4" fontId="8" fillId="7" borderId="45">
      <alignment horizontal="right" vertical="center" wrapText="1"/>
      <protection locked="0"/>
    </xf>
    <xf numFmtId="0" fontId="8" fillId="0" borderId="44" applyFill="0">
      <alignment horizontal="left" vertical="center" wrapText="1"/>
    </xf>
    <xf numFmtId="49" fontId="17" fillId="0" borderId="16" applyFill="0">
      <alignment horizontal="left" vertical="center" wrapText="1"/>
    </xf>
    <xf numFmtId="0" fontId="8" fillId="0" borderId="43" applyFill="0">
      <alignment horizontal="left" vertical="center" wrapText="1" indent="1"/>
    </xf>
    <xf numFmtId="4" fontId="8" fillId="0" borderId="41" applyFill="0">
      <alignment horizontal="center" vertical="center" wrapText="1"/>
    </xf>
    <xf numFmtId="0" fontId="8" fillId="0" borderId="43" applyFill="0">
      <alignment horizontal="left" vertical="center" wrapText="1"/>
    </xf>
    <xf numFmtId="0" fontId="8" fillId="0" borderId="43" applyFill="0">
      <alignment horizontal="left" vertical="center" wrapText="1" indent="2"/>
    </xf>
    <xf numFmtId="4" fontId="8" fillId="0" borderId="43" applyFill="0">
      <alignment horizontal="center" vertical="center" wrapText="1"/>
    </xf>
    <xf numFmtId="49" fontId="8" fillId="0" borderId="46" applyFill="0">
      <alignment horizontal="center" vertical="center" wrapText="1"/>
    </xf>
    <xf numFmtId="0" fontId="8" fillId="0" borderId="45" applyFill="0">
      <alignment horizontal="left" vertical="center" wrapText="1"/>
    </xf>
    <xf numFmtId="4" fontId="8" fillId="0" borderId="45" applyFill="0">
      <alignment horizontal="center" vertical="center" wrapText="1"/>
    </xf>
    <xf numFmtId="49" fontId="17" fillId="0" borderId="24" applyFill="0">
      <alignment horizontal="left" vertical="center" wrapText="1"/>
    </xf>
    <xf numFmtId="49" fontId="8" fillId="0" borderId="44" applyFill="0">
      <alignment horizontal="center" vertical="center" wrapText="1"/>
    </xf>
    <xf numFmtId="4" fontId="8" fillId="7" borderId="44">
      <alignment horizontal="right" vertical="center" wrapText="1"/>
      <protection locked="0"/>
    </xf>
    <xf numFmtId="4" fontId="8" fillId="0" borderId="44" applyFill="0">
      <alignment horizontal="center" vertical="center" wrapText="1"/>
    </xf>
    <xf numFmtId="4" fontId="8" fillId="7" borderId="46">
      <alignment horizontal="right" vertical="center" wrapText="1"/>
      <protection locked="0"/>
    </xf>
    <xf numFmtId="0" fontId="27" fillId="0" borderId="20" applyFill="0">
      <alignment horizontal="center" vertical="center" wrapText="1"/>
    </xf>
    <xf numFmtId="0" fontId="79" fillId="0" borderId="12" applyFill="0">
      <alignment horizontal="center" vertical="center"/>
    </xf>
    <xf numFmtId="168" fontId="79" fillId="4" borderId="14">
      <alignment horizontal="left" vertical="center" wrapText="1" indent="1"/>
      <protection locked="0"/>
    </xf>
    <xf numFmtId="49" fontId="8" fillId="8" borderId="12">
      <alignment horizontal="left" vertical="center" wrapText="1"/>
    </xf>
    <xf numFmtId="49" fontId="17" fillId="8" borderId="14">
      <alignment horizontal="left" vertical="center" wrapText="1"/>
    </xf>
    <xf numFmtId="168" fontId="79" fillId="8" borderId="14">
      <alignment horizontal="left" vertical="center" wrapText="1" indent="1"/>
    </xf>
    <xf numFmtId="0" fontId="8" fillId="6" borderId="12">
      <alignment horizontal="left" vertical="top" wrapText="1" indent="1"/>
    </xf>
    <xf numFmtId="0" fontId="8" fillId="6" borderId="11">
      <alignment horizontal="left" vertical="top" wrapText="1" indent="1"/>
    </xf>
    <xf numFmtId="49" fontId="79" fillId="0" borderId="12" applyFill="0">
      <alignment horizontal="center" vertical="center"/>
    </xf>
    <xf numFmtId="0" fontId="8" fillId="10" borderId="17">
      <alignment vertical="center" wrapText="1"/>
    </xf>
    <xf numFmtId="0" fontId="8" fillId="0" borderId="11" applyFill="0">
      <alignment vertical="center" wrapText="1"/>
    </xf>
    <xf numFmtId="0" fontId="8" fillId="10" borderId="36">
      <alignment vertical="center" wrapText="1"/>
    </xf>
    <xf numFmtId="0" fontId="27" fillId="0" borderId="0" applyFill="0" applyBorder="0">
      <alignment horizontal="center" vertical="center" wrapText="1"/>
    </xf>
    <xf numFmtId="0" fontId="61" fillId="0" borderId="0" applyFill="0" applyBorder="0">
      <alignment vertical="center" wrapText="1"/>
    </xf>
    <xf numFmtId="0" fontId="79" fillId="8" borderId="23">
      <alignment horizontal="center" vertical="center" wrapText="1"/>
    </xf>
    <xf numFmtId="0" fontId="79" fillId="0" borderId="14" applyFill="0">
      <alignment horizontal="left" vertical="center" wrapText="1" indent="1"/>
    </xf>
    <xf numFmtId="49" fontId="8" fillId="0" borderId="12" applyFill="0">
      <alignment horizontal="center" vertical="center" wrapText="1"/>
    </xf>
    <xf numFmtId="0" fontId="8" fillId="10" borderId="25">
      <alignment vertical="center" wrapText="1"/>
    </xf>
    <xf numFmtId="0" fontId="8" fillId="8" borderId="10">
      <alignment vertical="center" wrapText="1"/>
    </xf>
    <xf numFmtId="49" fontId="37" fillId="0" borderId="10" applyFill="0">
      <alignment vertical="top"/>
    </xf>
    <xf numFmtId="0" fontId="12" fillId="8" borderId="10">
      <alignment horizontal="center" wrapText="1"/>
    </xf>
    <xf numFmtId="0" fontId="8" fillId="0" borderId="6" applyFill="0">
      <alignment horizontal="center" vertical="center"/>
    </xf>
    <xf numFmtId="0" fontId="8" fillId="0" borderId="7" applyFill="0">
      <alignment horizontal="center" vertical="center"/>
    </xf>
    <xf numFmtId="0" fontId="8" fillId="0" borderId="8" applyFill="0">
      <alignment horizontal="center" vertical="center"/>
    </xf>
    <xf numFmtId="0" fontId="8" fillId="0" borderId="4" applyFill="0">
      <alignment vertical="center" wrapText="1"/>
    </xf>
    <xf numFmtId="0" fontId="8" fillId="8" borderId="17">
      <alignment vertical="center" wrapText="1"/>
    </xf>
    <xf numFmtId="0" fontId="24" fillId="0" borderId="10" applyFill="0">
      <alignment vertical="center" wrapText="1"/>
    </xf>
    <xf numFmtId="0" fontId="8" fillId="0" borderId="47" applyFill="0">
      <alignment horizontal="center" vertical="center"/>
    </xf>
    <xf numFmtId="0" fontId="8" fillId="0" borderId="35" applyFill="0">
      <alignment horizontal="center" vertical="center"/>
    </xf>
    <xf numFmtId="0" fontId="8" fillId="0" borderId="4" applyFill="0">
      <alignment vertical="center"/>
    </xf>
    <xf numFmtId="49" fontId="79" fillId="0" borderId="23" applyFill="0">
      <alignment horizontal="center" vertical="center" wrapText="1"/>
    </xf>
    <xf numFmtId="49" fontId="8" fillId="0" borderId="19" applyFill="0">
      <alignment vertical="top"/>
    </xf>
    <xf numFmtId="49" fontId="79" fillId="0" borderId="33" applyFill="0">
      <alignment horizontal="center" vertical="center" wrapText="1"/>
    </xf>
    <xf numFmtId="0" fontId="79" fillId="6" borderId="14">
      <alignment horizontal="center" vertical="center" wrapText="1"/>
    </xf>
    <xf numFmtId="49" fontId="79" fillId="0" borderId="21" applyFill="0">
      <alignment horizontal="center" vertical="center" wrapText="1"/>
    </xf>
    <xf numFmtId="49" fontId="79" fillId="6" borderId="14">
      <alignment horizontal="center" vertical="center"/>
    </xf>
    <xf numFmtId="0" fontId="8" fillId="0" borderId="19" applyFill="0">
      <alignment vertical="center" wrapText="1"/>
    </xf>
    <xf numFmtId="4" fontId="79" fillId="6" borderId="14">
      <alignment horizontal="right" vertical="center" wrapText="1"/>
    </xf>
    <xf numFmtId="4" fontId="79" fillId="4" borderId="14">
      <alignment horizontal="right" vertical="center" wrapText="1"/>
      <protection locked="0"/>
    </xf>
    <xf numFmtId="49" fontId="79" fillId="0" borderId="14" applyFill="0">
      <alignment horizontal="left" vertical="center" wrapText="1" indent="3"/>
    </xf>
    <xf numFmtId="49" fontId="29" fillId="0" borderId="0" applyFill="0" applyBorder="0">
      <alignment vertical="center"/>
    </xf>
    <xf numFmtId="49" fontId="29" fillId="0" borderId="0" applyFill="0" applyBorder="0">
      <alignment vertical="center" wrapText="1"/>
    </xf>
    <xf numFmtId="49" fontId="8" fillId="8" borderId="0" applyBorder="0">
      <alignment horizontal="center" vertical="top" wrapText="1"/>
    </xf>
    <xf numFmtId="0" fontId="8" fillId="0" borderId="18" applyFill="0">
      <alignment horizontal="left" vertical="top" wrapText="1"/>
    </xf>
    <xf numFmtId="49" fontId="8" fillId="0" borderId="0" applyFill="0" applyBorder="0">
      <alignment horizontal="center" vertical="top" wrapText="1"/>
    </xf>
    <xf numFmtId="49" fontId="8" fillId="0" borderId="0" applyFill="0" applyBorder="0">
      <alignment horizontal="center" vertical="center" wrapText="1"/>
    </xf>
    <xf numFmtId="49" fontId="29" fillId="0" borderId="0" applyFill="0" applyBorder="0">
      <alignment horizontal="center" vertical="center" wrapText="1"/>
    </xf>
    <xf numFmtId="0" fontId="8" fillId="16" borderId="12">
      <alignment horizontal="center" vertical="center" wrapText="1"/>
    </xf>
    <xf numFmtId="0" fontId="8" fillId="16" borderId="16">
      <alignment horizontal="center" vertical="center" wrapText="1"/>
    </xf>
    <xf numFmtId="0" fontId="8" fillId="16" borderId="11">
      <alignment horizontal="center" vertical="center" wrapText="1"/>
    </xf>
    <xf numFmtId="49" fontId="18" fillId="17" borderId="12">
      <alignment horizontal="center" vertical="center" wrapText="1"/>
    </xf>
    <xf numFmtId="49" fontId="18" fillId="17" borderId="16">
      <alignment horizontal="center" vertical="center" wrapText="1"/>
    </xf>
    <xf numFmtId="49" fontId="18" fillId="17" borderId="11">
      <alignment horizontal="center" vertical="center" wrapText="1"/>
    </xf>
    <xf numFmtId="49" fontId="18" fillId="18" borderId="12">
      <alignment horizontal="center" vertical="center" wrapText="1"/>
    </xf>
    <xf numFmtId="49" fontId="18" fillId="18" borderId="16">
      <alignment horizontal="center" vertical="center" wrapText="1"/>
    </xf>
    <xf numFmtId="49" fontId="18" fillId="18" borderId="11">
      <alignment horizontal="center" vertical="center" wrapText="1"/>
    </xf>
    <xf numFmtId="49" fontId="8" fillId="19" borderId="12">
      <alignment horizontal="center" vertical="center" wrapText="1"/>
    </xf>
    <xf numFmtId="49" fontId="8" fillId="19" borderId="16">
      <alignment horizontal="center" vertical="center" wrapText="1"/>
    </xf>
    <xf numFmtId="49" fontId="8" fillId="20" borderId="17">
      <alignment horizontal="center" vertical="center" wrapText="1"/>
    </xf>
    <xf numFmtId="49" fontId="8" fillId="20" borderId="0" applyBorder="0">
      <alignment horizontal="center" vertical="center" wrapText="1"/>
    </xf>
    <xf numFmtId="49" fontId="8" fillId="0" borderId="16" applyFill="0">
      <alignment horizontal="center" vertical="center" wrapText="1"/>
    </xf>
    <xf numFmtId="49" fontId="8" fillId="0" borderId="11" applyFill="0">
      <alignment horizontal="center" vertical="center" wrapText="1"/>
    </xf>
    <xf numFmtId="49" fontId="29" fillId="8" borderId="0" applyBorder="0">
      <alignment vertical="center" wrapText="1"/>
    </xf>
    <xf numFmtId="49" fontId="8" fillId="20" borderId="14">
      <alignment horizontal="center" vertical="center" wrapText="1"/>
    </xf>
    <xf numFmtId="0" fontId="8" fillId="20" borderId="14">
      <alignment horizontal="center" vertical="center" wrapText="1"/>
    </xf>
    <xf numFmtId="0" fontId="8" fillId="20" borderId="12">
      <alignment horizontal="center" vertical="center" wrapText="1"/>
    </xf>
    <xf numFmtId="0" fontId="8" fillId="8" borderId="11">
      <alignment horizontal="center" vertical="center" wrapText="1"/>
    </xf>
    <xf numFmtId="0" fontId="8" fillId="20" borderId="11">
      <alignment horizontal="center" vertical="center" wrapText="1"/>
    </xf>
    <xf numFmtId="49" fontId="8" fillId="20" borderId="36">
      <alignment horizontal="center" vertical="center" wrapText="1"/>
    </xf>
    <xf numFmtId="49" fontId="29" fillId="8" borderId="0" applyBorder="0">
      <alignment vertical="center"/>
    </xf>
    <xf numFmtId="49" fontId="27" fillId="0" borderId="14" applyFill="0">
      <alignment horizontal="center" vertical="center"/>
    </xf>
    <xf numFmtId="49" fontId="27" fillId="20" borderId="14">
      <alignment horizontal="center" vertical="center"/>
    </xf>
    <xf numFmtId="0" fontId="27" fillId="0" borderId="14" applyFill="0">
      <alignment horizontal="center" vertical="center"/>
    </xf>
    <xf numFmtId="49" fontId="27" fillId="0" borderId="21" applyFill="0">
      <alignment horizontal="center" vertical="center"/>
    </xf>
    <xf numFmtId="49" fontId="18" fillId="0" borderId="23" applyFill="0">
      <alignment horizontal="center" vertical="center"/>
    </xf>
    <xf numFmtId="0" fontId="8" fillId="0" borderId="23" applyFill="0">
      <alignment horizontal="right" vertical="center"/>
    </xf>
    <xf numFmtId="0" fontId="8" fillId="0" borderId="23" applyFill="0">
      <alignment horizontal="center" vertical="center"/>
    </xf>
    <xf numFmtId="0" fontId="8" fillId="0" borderId="14" applyFill="0">
      <alignment horizontal="right" vertical="center"/>
    </xf>
    <xf numFmtId="4" fontId="29" fillId="8" borderId="0" applyBorder="0">
      <alignment vertical="center"/>
    </xf>
    <xf numFmtId="49" fontId="62" fillId="0" borderId="0" applyFill="0" applyBorder="0">
      <alignment vertical="center" wrapText="1"/>
    </xf>
    <xf numFmtId="49" fontId="27" fillId="0" borderId="0" applyFill="0" applyBorder="0">
      <alignment horizontal="center" vertical="center" wrapText="1"/>
    </xf>
    <xf numFmtId="3" fontId="8" fillId="7" borderId="12">
      <alignment vertical="center" wrapText="1"/>
      <protection locked="0"/>
    </xf>
    <xf numFmtId="4" fontId="8" fillId="6" borderId="12">
      <alignment horizontal="right" vertical="center" wrapText="1"/>
    </xf>
    <xf numFmtId="0" fontId="18" fillId="0" borderId="14" applyFill="0">
      <alignment vertical="top" wrapText="1"/>
    </xf>
    <xf numFmtId="0" fontId="79" fillId="0" borderId="14" applyFill="0">
      <alignment vertical="center" wrapText="1"/>
    </xf>
    <xf numFmtId="0" fontId="79" fillId="7" borderId="14">
      <alignment horizontal="left" vertical="center" wrapText="1" indent="2"/>
      <protection locked="0"/>
    </xf>
    <xf numFmtId="49" fontId="59" fillId="10" borderId="16">
      <alignment horizontal="center" vertical="top"/>
    </xf>
    <xf numFmtId="49" fontId="36" fillId="0" borderId="14" applyFill="0">
      <alignment horizontal="center" vertical="center" wrapText="1"/>
    </xf>
    <xf numFmtId="0" fontId="36" fillId="0" borderId="14" applyFill="0">
      <alignment horizontal="left" vertical="center" wrapText="1" indent="2"/>
    </xf>
    <xf numFmtId="49" fontId="63" fillId="0" borderId="12" applyFill="0">
      <alignment horizontal="left" vertical="center" wrapText="1"/>
    </xf>
    <xf numFmtId="0" fontId="8" fillId="0" borderId="23" applyFill="0">
      <alignment vertical="top" wrapText="1"/>
    </xf>
    <xf numFmtId="0" fontId="79" fillId="7" borderId="14">
      <alignment horizontal="left" vertical="center" wrapText="1" indent="1"/>
      <protection locked="0"/>
    </xf>
    <xf numFmtId="0" fontId="79" fillId="7" borderId="14">
      <alignment horizontal="left" vertical="center" wrapText="1"/>
      <protection locked="0"/>
    </xf>
    <xf numFmtId="0" fontId="79" fillId="0" borderId="14" applyFill="0">
      <alignment horizontal="left" vertical="center" wrapText="1" indent="2"/>
    </xf>
    <xf numFmtId="168" fontId="79" fillId="7" borderId="14">
      <alignment horizontal="left" vertical="center" wrapText="1"/>
      <protection locked="0"/>
    </xf>
    <xf numFmtId="49" fontId="18" fillId="0" borderId="0" applyFill="0" applyBorder="0">
      <alignment vertical="top"/>
    </xf>
    <xf numFmtId="168" fontId="79" fillId="7" borderId="11">
      <alignment horizontal="left" vertical="center" wrapText="1"/>
      <protection locked="0"/>
    </xf>
    <xf numFmtId="168" fontId="79" fillId="7" borderId="12">
      <alignment horizontal="left" vertical="center" wrapText="1"/>
      <protection locked="0"/>
    </xf>
    <xf numFmtId="0" fontId="8" fillId="0" borderId="16" applyFill="0">
      <alignment horizontal="left" vertical="top" wrapText="1" indent="1"/>
    </xf>
    <xf numFmtId="0" fontId="79" fillId="8" borderId="12">
      <alignment horizontal="right" vertical="center" wrapText="1" indent="1"/>
    </xf>
    <xf numFmtId="49" fontId="27" fillId="8" borderId="17">
      <alignment horizontal="center" vertical="center" wrapText="1"/>
    </xf>
    <xf numFmtId="49" fontId="79" fillId="8" borderId="23">
      <alignment horizontal="center" vertical="center" wrapText="1"/>
    </xf>
    <xf numFmtId="0" fontId="79" fillId="0" borderId="23" applyFill="0">
      <alignment horizontal="left" vertical="center" wrapText="1"/>
    </xf>
    <xf numFmtId="0" fontId="47" fillId="8" borderId="0" applyBorder="0">
      <alignment horizontal="center" vertical="top" wrapText="1"/>
    </xf>
    <xf numFmtId="0" fontId="79" fillId="6" borderId="12">
      <alignment horizontal="left" vertical="center" wrapText="1" indent="1"/>
    </xf>
    <xf numFmtId="49" fontId="28" fillId="10" borderId="36">
      <alignment horizontal="left" vertical="center" indent="2"/>
    </xf>
    <xf numFmtId="0" fontId="47" fillId="8" borderId="20">
      <alignment horizontal="center" vertical="top" wrapText="1"/>
    </xf>
    <xf numFmtId="49" fontId="79" fillId="8" borderId="21">
      <alignment horizontal="center" vertical="center" wrapText="1"/>
    </xf>
    <xf numFmtId="0" fontId="79" fillId="6" borderId="21">
      <alignment horizontal="left" vertical="center" wrapText="1" indent="1"/>
    </xf>
    <xf numFmtId="49" fontId="79" fillId="8" borderId="12">
      <alignment horizontal="center" vertical="center" wrapText="1"/>
    </xf>
    <xf numFmtId="49" fontId="8" fillId="0" borderId="17" applyFill="0">
      <alignment vertical="top"/>
    </xf>
    <xf numFmtId="49" fontId="8" fillId="0" borderId="0" applyFill="0" applyBorder="0">
      <alignment vertical="top" wrapText="1"/>
    </xf>
    <xf numFmtId="0" fontId="8" fillId="0" borderId="17" applyFill="0">
      <alignment horizontal="left" vertical="top" wrapText="1"/>
    </xf>
    <xf numFmtId="3" fontId="8" fillId="0" borderId="12" applyFill="0">
      <alignment vertical="center" wrapText="1"/>
    </xf>
    <xf numFmtId="4" fontId="8" fillId="0" borderId="12" applyFill="0">
      <alignment horizontal="right" vertical="center" wrapText="1"/>
    </xf>
    <xf numFmtId="49" fontId="9" fillId="17" borderId="0" applyBorder="0">
      <alignment horizontal="center" vertical="center"/>
    </xf>
    <xf numFmtId="49" fontId="8" fillId="0" borderId="14" applyFill="0">
      <alignment horizontal="center" vertical="top"/>
    </xf>
    <xf numFmtId="49" fontId="18" fillId="17" borderId="0" applyBorder="0">
      <alignment horizontal="center" vertical="center" wrapText="1"/>
    </xf>
    <xf numFmtId="0" fontId="79" fillId="16" borderId="14">
      <alignment horizontal="center" vertical="center"/>
    </xf>
    <xf numFmtId="49" fontId="18" fillId="17" borderId="14">
      <alignment horizontal="center" vertical="center"/>
    </xf>
    <xf numFmtId="49" fontId="18" fillId="18" borderId="14">
      <alignment horizontal="center" vertical="center"/>
    </xf>
    <xf numFmtId="49" fontId="79" fillId="19" borderId="14">
      <alignment horizontal="center" vertical="center"/>
    </xf>
    <xf numFmtId="0" fontId="8" fillId="0" borderId="14" applyFill="0">
      <alignment vertical="center"/>
    </xf>
    <xf numFmtId="0" fontId="79" fillId="0" borderId="14" applyFill="0">
      <alignment vertical="center"/>
    </xf>
    <xf numFmtId="0" fontId="79" fillId="0" borderId="12" applyFill="0">
      <alignment vertical="center"/>
    </xf>
    <xf numFmtId="0" fontId="8" fillId="0" borderId="12" applyFill="0">
      <alignment horizontal="left" vertical="center"/>
    </xf>
    <xf numFmtId="49" fontId="8" fillId="0" borderId="48" applyFill="0">
      <alignment vertical="center"/>
    </xf>
    <xf numFmtId="49" fontId="8" fillId="0" borderId="49" applyFill="0">
      <alignment vertical="top"/>
    </xf>
    <xf numFmtId="49" fontId="8" fillId="0" borderId="50" applyFill="0">
      <alignment vertical="top"/>
    </xf>
    <xf numFmtId="0" fontId="79" fillId="0" borderId="11" applyFill="0">
      <alignment vertical="center"/>
    </xf>
    <xf numFmtId="0" fontId="79" fillId="0" borderId="14" applyFill="0">
      <alignment horizontal="right" vertical="top"/>
    </xf>
    <xf numFmtId="0" fontId="79" fillId="0" borderId="14" applyFill="0">
      <alignment vertical="top"/>
    </xf>
    <xf numFmtId="0" fontId="8" fillId="0" borderId="11" applyFill="0">
      <alignment vertical="center"/>
    </xf>
    <xf numFmtId="49" fontId="8" fillId="0" borderId="14" applyFill="0">
      <alignment vertical="center"/>
    </xf>
    <xf numFmtId="0" fontId="8" fillId="0" borderId="14" applyFill="0">
      <alignment vertical="top"/>
    </xf>
    <xf numFmtId="0" fontId="79" fillId="21" borderId="0" applyBorder="0">
      <alignment horizontal="right" vertical="center"/>
    </xf>
    <xf numFmtId="0" fontId="79" fillId="21" borderId="0" applyBorder="0">
      <alignment horizontal="left" vertical="center"/>
    </xf>
    <xf numFmtId="0" fontId="79" fillId="0" borderId="0" applyFill="0" applyBorder="0">
      <alignment horizontal="right" vertical="top"/>
    </xf>
    <xf numFmtId="49" fontId="8" fillId="0" borderId="12" applyFill="0">
      <alignment vertical="top"/>
    </xf>
    <xf numFmtId="0" fontId="52" fillId="21" borderId="0" applyBorder="0">
      <alignment horizontal="left" vertical="center"/>
    </xf>
    <xf numFmtId="49" fontId="79" fillId="0" borderId="12" applyFill="0">
      <alignment vertical="top"/>
    </xf>
    <xf numFmtId="49" fontId="8" fillId="0" borderId="14" applyFill="0">
      <alignment horizontal="right" vertical="top"/>
    </xf>
    <xf numFmtId="0" fontId="79" fillId="0" borderId="12" applyFill="0">
      <alignment horizontal="left" vertical="center"/>
    </xf>
    <xf numFmtId="49" fontId="8" fillId="0" borderId="23" applyFill="0">
      <alignment horizontal="right" vertical="top"/>
    </xf>
    <xf numFmtId="0" fontId="79" fillId="0" borderId="23" applyFill="0">
      <alignment vertical="top"/>
    </xf>
    <xf numFmtId="0" fontId="8" fillId="0" borderId="23" applyFill="0">
      <alignment vertical="center"/>
    </xf>
    <xf numFmtId="49" fontId="8" fillId="0" borderId="43" applyFill="0">
      <alignment horizontal="center" vertical="center"/>
    </xf>
    <xf numFmtId="49" fontId="8" fillId="0" borderId="14" applyFill="0">
      <alignment horizontal="right" vertical="center"/>
    </xf>
    <xf numFmtId="49" fontId="8" fillId="0" borderId="14" applyFill="0">
      <alignment vertical="top"/>
    </xf>
    <xf numFmtId="0" fontId="8" fillId="21" borderId="0" applyBorder="0">
      <alignment horizontal="left" vertical="center"/>
    </xf>
    <xf numFmtId="0" fontId="79" fillId="21" borderId="51">
      <alignment horizontal="center"/>
    </xf>
    <xf numFmtId="49" fontId="64" fillId="0" borderId="50" applyFill="0">
      <alignment vertical="top"/>
    </xf>
    <xf numFmtId="49" fontId="29" fillId="13" borderId="0" applyBorder="0">
      <alignment vertical="center" wrapText="1"/>
    </xf>
    <xf numFmtId="0" fontId="79" fillId="0" borderId="51" applyFill="0">
      <alignment horizontal="center"/>
    </xf>
    <xf numFmtId="49" fontId="9" fillId="17" borderId="0" applyBorder="0">
      <alignment horizontal="center" vertical="center" wrapText="1"/>
    </xf>
    <xf numFmtId="49" fontId="8" fillId="21" borderId="0" applyBorder="0">
      <alignment horizontal="center" vertical="center"/>
    </xf>
    <xf numFmtId="49" fontId="79" fillId="4" borderId="43">
      <alignment horizontal="left" vertical="center"/>
      <protection locked="0"/>
    </xf>
    <xf numFmtId="49" fontId="79" fillId="0" borderId="43" applyFill="0">
      <alignment horizontal="right" vertical="center"/>
    </xf>
    <xf numFmtId="0" fontId="79" fillId="6" borderId="43">
      <alignment horizontal="center" vertical="center"/>
    </xf>
    <xf numFmtId="49" fontId="79" fillId="0" borderId="43" applyFill="0">
      <alignment horizontal="center" vertical="center"/>
    </xf>
    <xf numFmtId="0" fontId="2" fillId="0" borderId="52" applyFill="0">
      <alignment horizontal="center" vertical="center"/>
    </xf>
    <xf numFmtId="0" fontId="79" fillId="0" borderId="52" applyFill="0">
      <alignment horizontal="center" vertical="center"/>
    </xf>
    <xf numFmtId="49" fontId="9" fillId="17" borderId="14">
      <alignment horizontal="right" vertical="center"/>
    </xf>
    <xf numFmtId="49" fontId="8" fillId="4" borderId="24">
      <alignment vertical="top"/>
      <protection locked="0"/>
    </xf>
    <xf numFmtId="0" fontId="79" fillId="20" borderId="14">
      <alignment horizontal="right" vertical="center"/>
    </xf>
    <xf numFmtId="49" fontId="8" fillId="20" borderId="21">
      <alignment vertical="top"/>
    </xf>
    <xf numFmtId="49" fontId="8" fillId="20" borderId="14">
      <alignment vertical="top"/>
    </xf>
    <xf numFmtId="49" fontId="8" fillId="0" borderId="12" applyFill="0">
      <alignment horizontal="center" vertical="top"/>
    </xf>
    <xf numFmtId="49" fontId="8" fillId="0" borderId="11" applyFill="0">
      <alignment horizontal="center" vertical="top"/>
    </xf>
    <xf numFmtId="0" fontId="8" fillId="6" borderId="26">
      <alignment horizontal="center" vertical="top"/>
    </xf>
    <xf numFmtId="0" fontId="8" fillId="6" borderId="26">
      <alignment horizontal="left" vertical="top"/>
    </xf>
    <xf numFmtId="0" fontId="79" fillId="0" borderId="41" applyFill="0">
      <alignment horizontal="center" vertical="center"/>
    </xf>
    <xf numFmtId="0" fontId="79" fillId="0" borderId="46" applyFill="0">
      <alignment horizontal="center" vertical="center"/>
    </xf>
    <xf numFmtId="0" fontId="8" fillId="0" borderId="14" applyFill="0">
      <alignment horizontal="left" vertical="top"/>
    </xf>
    <xf numFmtId="0" fontId="79" fillId="0" borderId="44" applyFill="0">
      <alignment horizontal="center" vertical="center"/>
    </xf>
    <xf numFmtId="49" fontId="9" fillId="17" borderId="12">
      <alignment horizontal="right" vertical="center"/>
    </xf>
    <xf numFmtId="49" fontId="79" fillId="0" borderId="0" applyFill="0" applyBorder="0">
      <alignment vertical="center"/>
    </xf>
    <xf numFmtId="0" fontId="79" fillId="21" borderId="0" applyBorder="0">
      <alignment horizontal="right" vertical="top" wrapText="1"/>
    </xf>
    <xf numFmtId="49" fontId="8" fillId="8" borderId="14">
      <alignment horizontal="center" vertical="center"/>
    </xf>
    <xf numFmtId="0" fontId="18" fillId="8" borderId="0" applyBorder="0"/>
    <xf numFmtId="0" fontId="65" fillId="8" borderId="0" applyBorder="0"/>
    <xf numFmtId="0" fontId="24" fillId="8" borderId="0" applyBorder="0">
      <alignment horizontal="center" vertical="center" wrapText="1"/>
    </xf>
    <xf numFmtId="0" fontId="79" fillId="8" borderId="23">
      <alignment horizontal="left" vertical="top" wrapText="1"/>
    </xf>
    <xf numFmtId="0" fontId="35" fillId="8" borderId="0" applyBorder="0">
      <alignment vertical="center" wrapText="1"/>
    </xf>
    <xf numFmtId="0" fontId="24" fillId="8" borderId="14">
      <alignment horizontal="center" vertical="center"/>
    </xf>
    <xf numFmtId="0" fontId="79" fillId="8" borderId="33">
      <alignment horizontal="left" vertical="top" wrapText="1"/>
    </xf>
    <xf numFmtId="0" fontId="36" fillId="8" borderId="0" applyBorder="0"/>
    <xf numFmtId="0" fontId="79" fillId="8" borderId="21">
      <alignment horizontal="left" vertical="top" wrapText="1"/>
    </xf>
    <xf numFmtId="0" fontId="57" fillId="8" borderId="0" applyBorder="0"/>
    <xf numFmtId="0" fontId="8" fillId="8" borderId="14">
      <alignment horizontal="left" vertical="top" wrapText="1"/>
    </xf>
    <xf numFmtId="49" fontId="17" fillId="4" borderId="21">
      <alignment horizontal="left" vertical="center" wrapText="1"/>
      <protection locked="0"/>
    </xf>
    <xf numFmtId="0" fontId="8" fillId="8" borderId="14">
      <alignment vertical="top" wrapText="1"/>
    </xf>
    <xf numFmtId="14" fontId="8" fillId="7" borderId="12">
      <alignment horizontal="left" vertical="center" wrapText="1" indent="1"/>
      <protection locked="0"/>
    </xf>
    <xf numFmtId="0" fontId="18" fillId="0" borderId="33" applyFill="0">
      <alignment horizontal="left" vertical="center" wrapText="1" indent="1"/>
    </xf>
    <xf numFmtId="169" fontId="8" fillId="0" borderId="24" applyFill="0">
      <alignment horizontal="center" vertical="center" wrapText="1"/>
    </xf>
    <xf numFmtId="169" fontId="8" fillId="0" borderId="23" applyFill="0">
      <alignment horizontal="center" vertical="center" wrapText="1"/>
    </xf>
    <xf numFmtId="4" fontId="8" fillId="0" borderId="21" applyFill="0">
      <alignment horizontal="center" vertical="center" wrapText="1"/>
    </xf>
    <xf numFmtId="14" fontId="8" fillId="9" borderId="14">
      <alignment horizontal="left" vertical="center" wrapText="1"/>
    </xf>
    <xf numFmtId="14" fontId="8" fillId="7" borderId="14">
      <alignment horizontal="left" vertical="center" wrapText="1" indent="1"/>
      <protection locked="0"/>
    </xf>
    <xf numFmtId="49" fontId="12" fillId="10" borderId="26">
      <alignment horizontal="right" vertical="center" wrapText="1"/>
    </xf>
    <xf numFmtId="49" fontId="79" fillId="10" borderId="36">
      <alignment horizontal="right" vertical="center" wrapText="1"/>
    </xf>
    <xf numFmtId="49" fontId="79" fillId="10" borderId="25">
      <alignment horizontal="right" vertical="center" wrapText="1"/>
    </xf>
    <xf numFmtId="168" fontId="79" fillId="7" borderId="16">
      <alignment horizontal="left" vertical="center" wrapText="1" indent="1"/>
      <protection locked="0"/>
    </xf>
    <xf numFmtId="172" fontId="8" fillId="7" borderId="14">
      <alignment horizontal="left" vertical="center" wrapText="1" indent="1"/>
      <protection locked="0"/>
    </xf>
    <xf numFmtId="0" fontId="66" fillId="0" borderId="0" applyFill="0" applyBorder="0">
      <alignment vertical="center"/>
    </xf>
    <xf numFmtId="168" fontId="24" fillId="0" borderId="0" applyFill="0" applyBorder="0">
      <alignment horizontal="center" vertical="center" wrapText="1"/>
    </xf>
    <xf numFmtId="169" fontId="8" fillId="0" borderId="16" applyFill="0">
      <alignment horizontal="center" vertical="center" wrapText="1"/>
    </xf>
    <xf numFmtId="169" fontId="8" fillId="0" borderId="11" applyFill="0">
      <alignment horizontal="center" vertical="center" wrapText="1"/>
    </xf>
    <xf numFmtId="4" fontId="8" fillId="0" borderId="33" applyFill="0">
      <alignment horizontal="center" vertical="center" wrapText="1"/>
    </xf>
    <xf numFmtId="169" fontId="8" fillId="0" borderId="21" applyFill="0">
      <alignment horizontal="center" vertical="center" wrapText="1"/>
    </xf>
    <xf numFmtId="0" fontId="8" fillId="6" borderId="21">
      <alignment horizontal="left" vertical="center" wrapText="1" indent="1"/>
    </xf>
    <xf numFmtId="14" fontId="8" fillId="7" borderId="21">
      <alignment horizontal="left" vertical="center" wrapText="1" indent="1"/>
      <protection locked="0"/>
    </xf>
    <xf numFmtId="0" fontId="8" fillId="0" borderId="25" applyFill="0">
      <alignment horizontal="left" vertical="top" wrapText="1"/>
    </xf>
    <xf numFmtId="14" fontId="8" fillId="0" borderId="21" applyFill="0">
      <alignment horizontal="left" vertical="center" wrapText="1" indent="1"/>
    </xf>
    <xf numFmtId="49" fontId="17" fillId="10" borderId="36">
      <alignment horizontal="left" vertical="center" wrapText="1"/>
    </xf>
    <xf numFmtId="49" fontId="17" fillId="10" borderId="25">
      <alignment horizontal="left" vertical="center" wrapText="1"/>
    </xf>
    <xf numFmtId="0" fontId="8" fillId="8" borderId="33">
      <alignment vertical="center" wrapText="1"/>
    </xf>
    <xf numFmtId="0" fontId="24" fillId="0" borderId="36" applyFill="0">
      <alignment horizontal="center" vertical="center" wrapText="1"/>
    </xf>
    <xf numFmtId="0" fontId="8" fillId="8" borderId="19">
      <alignment vertical="center" wrapText="1"/>
    </xf>
    <xf numFmtId="0" fontId="27" fillId="0" borderId="14" applyFill="0">
      <alignment horizontal="center" vertical="center" wrapText="1"/>
    </xf>
    <xf numFmtId="0" fontId="8" fillId="0" borderId="16" applyFill="0">
      <alignment horizontal="left" vertical="center" wrapText="1"/>
    </xf>
    <xf numFmtId="169" fontId="29" fillId="0" borderId="17" applyFill="0">
      <alignment horizontal="center" vertical="center" wrapText="1"/>
    </xf>
    <xf numFmtId="169" fontId="29" fillId="0" borderId="18" applyFill="0">
      <alignment horizontal="center" vertical="center" wrapText="1"/>
    </xf>
    <xf numFmtId="0" fontId="26" fillId="0" borderId="0" applyFill="0" applyBorder="0">
      <alignment horizontal="center" vertical="center" wrapText="1"/>
    </xf>
    <xf numFmtId="169" fontId="8" fillId="0" borderId="33" applyFill="0">
      <alignment horizontal="center" vertical="center" wrapText="1"/>
    </xf>
    <xf numFmtId="0" fontId="8" fillId="6" borderId="25">
      <alignment horizontal="left" vertical="center" wrapText="1"/>
    </xf>
    <xf numFmtId="49" fontId="8" fillId="9" borderId="26">
      <alignment horizontal="left" vertical="center" wrapText="1"/>
    </xf>
    <xf numFmtId="49" fontId="8" fillId="7" borderId="36">
      <alignment horizontal="left" vertical="center" wrapText="1"/>
      <protection locked="0"/>
    </xf>
    <xf numFmtId="49" fontId="8" fillId="7" borderId="26">
      <alignment horizontal="left" vertical="center" wrapText="1"/>
      <protection locked="0"/>
    </xf>
    <xf numFmtId="49" fontId="8" fillId="0" borderId="14" applyFill="0">
      <alignment horizontal="left" vertical="top" wrapText="1"/>
    </xf>
    <xf numFmtId="49" fontId="8" fillId="9" borderId="21">
      <alignment horizontal="left" vertical="center" wrapText="1"/>
    </xf>
    <xf numFmtId="49" fontId="67" fillId="0" borderId="14" applyFill="0">
      <alignment horizontal="left" vertical="top" wrapText="1"/>
    </xf>
    <xf numFmtId="0" fontId="68" fillId="8" borderId="0" applyBorder="0">
      <alignment horizontal="center" vertical="center" wrapText="1"/>
    </xf>
    <xf numFmtId="0" fontId="9" fillId="8" borderId="0" applyBorder="0"/>
    <xf numFmtId="49" fontId="8" fillId="0" borderId="0" applyFill="0" applyBorder="0">
      <alignment horizontal="left" vertical="top" wrapText="1"/>
    </xf>
    <xf numFmtId="49" fontId="30" fillId="0" borderId="0" applyFill="0" applyBorder="0">
      <alignment horizontal="center" vertical="center"/>
    </xf>
    <xf numFmtId="0" fontId="8" fillId="0" borderId="0" applyFill="0" applyBorder="0"/>
    <xf numFmtId="0" fontId="30" fillId="8" borderId="0" applyBorder="0">
      <alignment horizontal="center" vertical="center"/>
    </xf>
    <xf numFmtId="0" fontId="8" fillId="8" borderId="23">
      <alignment horizontal="center" vertical="center"/>
    </xf>
    <xf numFmtId="49" fontId="8" fillId="0" borderId="23" applyFill="0">
      <alignment horizontal="left" vertical="center" wrapText="1"/>
    </xf>
    <xf numFmtId="49" fontId="28" fillId="10" borderId="11">
      <alignment horizontal="left" vertical="center"/>
    </xf>
    <xf numFmtId="0" fontId="30" fillId="0" borderId="0" applyFill="0" applyBorder="0">
      <alignment horizontal="center" vertical="center"/>
    </xf>
    <xf numFmtId="49" fontId="79" fillId="0" borderId="16" applyFill="0">
      <alignment horizontal="left" vertical="center" indent="1"/>
    </xf>
    <xf numFmtId="49" fontId="79" fillId="0" borderId="53" applyFill="0">
      <alignment horizontal="center" vertical="center"/>
    </xf>
    <xf numFmtId="49" fontId="79" fillId="22" borderId="0" applyBorder="0">
      <alignment vertical="top"/>
    </xf>
    <xf numFmtId="0" fontId="30" fillId="8" borderId="0" applyBorder="0">
      <alignment horizontal="center"/>
    </xf>
    <xf numFmtId="0" fontId="27" fillId="0" borderId="0" applyFill="0" applyBorder="0">
      <alignment vertical="top" wrapText="1"/>
    </xf>
    <xf numFmtId="14" fontId="8" fillId="9" borderId="14">
      <alignment horizontal="left" vertical="center" wrapText="1" indent="1"/>
    </xf>
    <xf numFmtId="49" fontId="8" fillId="6" borderId="14">
      <alignment horizontal="center" vertical="center" wrapText="1"/>
    </xf>
    <xf numFmtId="49" fontId="39" fillId="22" borderId="0" applyBorder="0">
      <alignment vertical="top"/>
    </xf>
    <xf numFmtId="14" fontId="34" fillId="0" borderId="23" applyFill="0">
      <alignment horizontal="center" vertical="center" wrapText="1"/>
    </xf>
    <xf numFmtId="0" fontId="33" fillId="0" borderId="14" applyFill="0">
      <alignment horizontal="left" vertical="center" wrapText="1" indent="1"/>
    </xf>
    <xf numFmtId="0" fontId="34" fillId="0" borderId="23" applyFill="0">
      <alignment horizontal="center" vertical="center" wrapText="1"/>
    </xf>
    <xf numFmtId="49" fontId="33" fillId="0" borderId="14" applyFill="0">
      <alignment horizontal="left" vertical="center" wrapText="1" indent="1"/>
    </xf>
    <xf numFmtId="14" fontId="34" fillId="0" borderId="33" applyFill="0">
      <alignment horizontal="center" vertical="center" wrapText="1"/>
    </xf>
    <xf numFmtId="0" fontId="33" fillId="0" borderId="14" applyFill="0">
      <alignment horizontal="left" vertical="top" indent="1"/>
    </xf>
    <xf numFmtId="0" fontId="8" fillId="8" borderId="0" applyBorder="0">
      <alignment horizontal="center" vertical="top" wrapText="1"/>
    </xf>
    <xf numFmtId="0" fontId="24" fillId="8" borderId="14">
      <alignment horizontal="center" vertical="center" wrapText="1"/>
    </xf>
    <xf numFmtId="14" fontId="8" fillId="9" borderId="25">
      <alignment horizontal="left" vertical="center" wrapText="1"/>
    </xf>
    <xf numFmtId="49" fontId="69" fillId="7" borderId="14">
      <alignment horizontal="left" vertical="center" wrapText="1"/>
      <protection locked="0"/>
    </xf>
    <xf numFmtId="0" fontId="79" fillId="7" borderId="12">
      <alignment horizontal="left" vertical="center" wrapText="1" indent="2"/>
      <protection locked="0"/>
    </xf>
    <xf numFmtId="0" fontId="30" fillId="0" borderId="20" applyFill="0">
      <alignment horizontal="center" vertical="center" wrapText="1"/>
    </xf>
    <xf numFmtId="49" fontId="8" fillId="0" borderId="14" applyFill="0">
      <alignment horizontal="center" vertical="top" wrapText="1"/>
    </xf>
    <xf numFmtId="0" fontId="79" fillId="6" borderId="14">
      <alignment horizontal="left" vertical="top" wrapText="1" indent="1"/>
    </xf>
    <xf numFmtId="49" fontId="8" fillId="9" borderId="23">
      <alignment horizontal="center" vertical="top" wrapText="1"/>
    </xf>
    <xf numFmtId="168" fontId="79" fillId="7" borderId="14">
      <alignment horizontal="center" vertical="top" wrapText="1"/>
      <protection locked="0"/>
    </xf>
    <xf numFmtId="168" fontId="79" fillId="4" borderId="14">
      <alignment horizontal="center" vertical="top" wrapText="1"/>
      <protection locked="0"/>
    </xf>
    <xf numFmtId="49" fontId="8" fillId="9" borderId="14">
      <alignment horizontal="left" vertical="top" wrapText="1"/>
    </xf>
    <xf numFmtId="49" fontId="8" fillId="7" borderId="14">
      <alignment horizontal="left" vertical="top" wrapText="1"/>
      <protection locked="0"/>
    </xf>
    <xf numFmtId="49" fontId="79" fillId="6" borderId="14">
      <alignment horizontal="center" vertical="top" wrapText="1"/>
    </xf>
    <xf numFmtId="0" fontId="8" fillId="6" borderId="14">
      <alignment horizontal="center" vertical="top" wrapText="1"/>
    </xf>
    <xf numFmtId="0" fontId="8" fillId="4" borderId="14">
      <alignment horizontal="left" vertical="top" wrapText="1"/>
      <protection locked="0"/>
    </xf>
    <xf numFmtId="49" fontId="8" fillId="9" borderId="14">
      <alignment horizontal="center" vertical="top" wrapText="1"/>
    </xf>
    <xf numFmtId="49" fontId="8" fillId="7" borderId="23">
      <alignment horizontal="left" vertical="center" wrapText="1" indent="1"/>
      <protection locked="0"/>
    </xf>
    <xf numFmtId="0" fontId="8" fillId="0" borderId="20" applyFill="0">
      <alignment vertical="top" wrapText="1"/>
    </xf>
    <xf numFmtId="49" fontId="8" fillId="9" borderId="21">
      <alignment horizontal="center" vertical="top" wrapText="1"/>
    </xf>
    <xf numFmtId="49" fontId="79" fillId="7" borderId="14">
      <alignment horizontal="center" vertical="top" wrapText="1"/>
      <protection locked="0"/>
    </xf>
    <xf numFmtId="49" fontId="79" fillId="4" borderId="14">
      <alignment horizontal="center" vertical="top" wrapText="1"/>
      <protection locked="0"/>
    </xf>
    <xf numFmtId="49" fontId="8" fillId="9" borderId="12">
      <alignment horizontal="center" vertical="top" wrapText="1"/>
    </xf>
    <xf numFmtId="49" fontId="8" fillId="0" borderId="33" applyFill="0">
      <alignment horizontal="center" vertical="top" wrapText="1"/>
    </xf>
    <xf numFmtId="0" fontId="79" fillId="6" borderId="33">
      <alignment horizontal="left" vertical="top" wrapText="1" indent="1"/>
    </xf>
    <xf numFmtId="49" fontId="8" fillId="9" borderId="33">
      <alignment horizontal="center" vertical="top" wrapText="1"/>
    </xf>
    <xf numFmtId="49" fontId="79" fillId="7" borderId="33">
      <alignment horizontal="center" vertical="top" wrapText="1"/>
      <protection locked="0"/>
    </xf>
    <xf numFmtId="49" fontId="79" fillId="4" borderId="33">
      <alignment horizontal="center" vertical="top" wrapText="1"/>
      <protection locked="0"/>
    </xf>
    <xf numFmtId="49" fontId="8" fillId="9" borderId="33">
      <alignment horizontal="left" vertical="top" wrapText="1"/>
    </xf>
    <xf numFmtId="49" fontId="8" fillId="7" borderId="33">
      <alignment horizontal="left" vertical="top" wrapText="1"/>
      <protection locked="0"/>
    </xf>
    <xf numFmtId="49" fontId="79" fillId="6" borderId="33">
      <alignment horizontal="center" vertical="top" wrapText="1"/>
    </xf>
    <xf numFmtId="0" fontId="8" fillId="6" borderId="33">
      <alignment horizontal="center" vertical="top" wrapText="1"/>
    </xf>
    <xf numFmtId="0" fontId="8" fillId="4" borderId="33">
      <alignment horizontal="left" vertical="top" wrapText="1"/>
      <protection locked="0"/>
    </xf>
    <xf numFmtId="0" fontId="70" fillId="0" borderId="54" applyFill="0">
      <alignment horizontal="left" vertical="center" indent="1"/>
    </xf>
    <xf numFmtId="0" fontId="70" fillId="0" borderId="55" applyFill="0">
      <alignment horizontal="left" vertical="center" indent="1"/>
    </xf>
    <xf numFmtId="0" fontId="79" fillId="0" borderId="55" applyFill="0">
      <alignment horizontal="left" vertical="center" wrapText="1"/>
    </xf>
    <xf numFmtId="0" fontId="8" fillId="0" borderId="55" applyFill="0">
      <alignment vertical="center" wrapText="1"/>
    </xf>
    <xf numFmtId="0" fontId="8" fillId="0" borderId="56" applyFill="0">
      <alignment vertical="center" wrapText="1"/>
    </xf>
    <xf numFmtId="0" fontId="8" fillId="0" borderId="57" applyFill="0">
      <alignment vertical="center" wrapText="1"/>
    </xf>
    <xf numFmtId="49" fontId="18" fillId="0" borderId="11" applyFill="0">
      <alignment horizontal="center" vertical="center" wrapText="1"/>
    </xf>
    <xf numFmtId="49" fontId="18" fillId="0" borderId="11" applyFill="0">
      <alignment horizontal="left" vertical="center" wrapText="1"/>
    </xf>
    <xf numFmtId="49" fontId="18" fillId="0" borderId="12" applyFill="0">
      <alignment horizontal="center" vertical="center" wrapText="1"/>
    </xf>
    <xf numFmtId="49" fontId="71" fillId="0" borderId="35" applyFill="0">
      <alignment horizontal="left" vertical="center" indent="1"/>
    </xf>
    <xf numFmtId="49" fontId="71" fillId="0" borderId="35" applyFill="0">
      <alignment horizontal="center" vertical="center"/>
    </xf>
    <xf numFmtId="3" fontId="18" fillId="0" borderId="14" applyFill="0">
      <alignment horizontal="center" vertical="center" wrapText="1"/>
    </xf>
    <xf numFmtId="49" fontId="72" fillId="0" borderId="11" applyFill="0">
      <alignment horizontal="center" vertical="center" wrapText="1"/>
    </xf>
    <xf numFmtId="0" fontId="71" fillId="0" borderId="14" applyFill="0">
      <alignment horizontal="center" vertical="center"/>
    </xf>
    <xf numFmtId="49" fontId="18" fillId="0" borderId="23" applyFill="0">
      <alignment horizontal="left" vertical="center" wrapText="1" indent="1"/>
    </xf>
    <xf numFmtId="49" fontId="71" fillId="0" borderId="12" applyFill="0">
      <alignment horizontal="left" vertical="center" indent="1"/>
    </xf>
    <xf numFmtId="49" fontId="71" fillId="0" borderId="16" applyFill="0">
      <alignment horizontal="left" vertical="center" indent="1"/>
    </xf>
    <xf numFmtId="49" fontId="71" fillId="0" borderId="16" applyFill="0">
      <alignment vertical="top" wrapText="1"/>
    </xf>
    <xf numFmtId="49" fontId="71" fillId="0" borderId="11" applyFill="0">
      <alignment vertical="top" wrapText="1"/>
    </xf>
    <xf numFmtId="49" fontId="18" fillId="0" borderId="33" applyFill="0">
      <alignment horizontal="left" vertical="center" wrapText="1" indent="1"/>
    </xf>
    <xf numFmtId="0" fontId="71" fillId="0" borderId="14" applyFill="0">
      <alignment horizontal="left" vertical="center" wrapText="1" indent="1"/>
    </xf>
    <xf numFmtId="4" fontId="18" fillId="0" borderId="43" applyFill="0">
      <alignment horizontal="right" vertical="center" wrapText="1"/>
    </xf>
    <xf numFmtId="49" fontId="18" fillId="0" borderId="21" applyFill="0">
      <alignment horizontal="left" vertical="center" wrapText="1" indent="1"/>
    </xf>
    <xf numFmtId="49" fontId="18" fillId="0" borderId="16" applyFill="0">
      <alignment horizontal="left" vertical="center" indent="1"/>
    </xf>
    <xf numFmtId="49" fontId="71" fillId="0" borderId="58" applyFill="0">
      <alignment vertical="top" wrapText="1"/>
    </xf>
    <xf numFmtId="49" fontId="71" fillId="0" borderId="58" applyFill="0">
      <alignment horizontal="left" vertical="center" indent="1"/>
    </xf>
    <xf numFmtId="49" fontId="8" fillId="6" borderId="59">
      <alignment horizontal="center" vertical="center" wrapText="1"/>
    </xf>
    <xf numFmtId="0" fontId="79" fillId="10" borderId="60">
      <alignment horizontal="left" vertical="center"/>
    </xf>
    <xf numFmtId="49" fontId="28" fillId="10" borderId="61">
      <alignment horizontal="left" vertical="center" indent="1"/>
    </xf>
    <xf numFmtId="0" fontId="8" fillId="10" borderId="60">
      <alignment vertical="center" wrapText="1"/>
    </xf>
    <xf numFmtId="0" fontId="8" fillId="10" borderId="61">
      <alignment vertical="center" wrapText="1"/>
    </xf>
    <xf numFmtId="49" fontId="79" fillId="6" borderId="33">
      <alignment vertical="top"/>
    </xf>
    <xf numFmtId="49" fontId="79" fillId="0" borderId="33" applyFill="0">
      <alignment vertical="top"/>
    </xf>
    <xf numFmtId="49" fontId="8" fillId="9" borderId="23">
      <alignment vertical="center" wrapText="1"/>
    </xf>
    <xf numFmtId="49" fontId="79" fillId="7" borderId="33">
      <alignment vertical="top"/>
      <protection locked="0"/>
    </xf>
    <xf numFmtId="49" fontId="73" fillId="0" borderId="14" applyFill="0">
      <alignment horizontal="center" vertical="center" wrapText="1"/>
    </xf>
    <xf numFmtId="0" fontId="29" fillId="0" borderId="14" applyFill="0">
      <alignment horizontal="center" vertical="center"/>
    </xf>
    <xf numFmtId="49" fontId="8" fillId="9" borderId="23">
      <alignment horizontal="left" vertical="center" wrapText="1" indent="1"/>
    </xf>
    <xf numFmtId="49" fontId="74" fillId="10" borderId="12">
      <alignment horizontal="left" vertical="center" indent="1"/>
    </xf>
    <xf numFmtId="49" fontId="74" fillId="10" borderId="16">
      <alignment horizontal="left" vertical="center" indent="1"/>
    </xf>
    <xf numFmtId="49" fontId="29" fillId="10" borderId="16">
      <alignment vertical="top" wrapText="1"/>
    </xf>
    <xf numFmtId="49" fontId="79" fillId="7" borderId="23">
      <alignment vertical="top"/>
      <protection locked="0"/>
    </xf>
    <xf numFmtId="14" fontId="8" fillId="9" borderId="33">
      <alignment horizontal="left" vertical="center" wrapText="1" indent="1"/>
    </xf>
    <xf numFmtId="14" fontId="8" fillId="9" borderId="19">
      <alignment horizontal="left" vertical="center" wrapText="1" indent="1"/>
    </xf>
    <xf numFmtId="49" fontId="8" fillId="9" borderId="33">
      <alignment vertical="center" wrapText="1"/>
    </xf>
    <xf numFmtId="49" fontId="8" fillId="9" borderId="33">
      <alignment horizontal="left" vertical="center" wrapText="1" indent="1"/>
    </xf>
    <xf numFmtId="49" fontId="8" fillId="6" borderId="14">
      <alignment horizontal="left" vertical="center" wrapText="1"/>
    </xf>
    <xf numFmtId="0" fontId="29" fillId="9" borderId="14">
      <alignment horizontal="left" vertical="center" wrapText="1" indent="1"/>
    </xf>
    <xf numFmtId="49" fontId="8" fillId="9" borderId="21">
      <alignment vertical="center" wrapText="1"/>
    </xf>
    <xf numFmtId="49" fontId="8" fillId="9" borderId="21">
      <alignment horizontal="left" vertical="center" wrapText="1" indent="1"/>
    </xf>
    <xf numFmtId="49" fontId="79" fillId="7" borderId="21">
      <alignment vertical="top"/>
      <protection locked="0"/>
    </xf>
    <xf numFmtId="49" fontId="73" fillId="0" borderId="33" applyFill="0">
      <alignment horizontal="center" vertical="top" wrapText="1"/>
    </xf>
    <xf numFmtId="0" fontId="29" fillId="0" borderId="11" applyFill="0">
      <alignment horizontal="center" vertical="center"/>
    </xf>
    <xf numFmtId="49" fontId="8" fillId="9" borderId="11">
      <alignment horizontal="left" vertical="center" wrapText="1"/>
    </xf>
    <xf numFmtId="49" fontId="74" fillId="10" borderId="34">
      <alignment horizontal="left" vertical="center" indent="1"/>
    </xf>
    <xf numFmtId="49" fontId="71" fillId="10" borderId="35">
      <alignment horizontal="center" vertical="center"/>
    </xf>
    <xf numFmtId="49" fontId="74" fillId="10" borderId="35">
      <alignment horizontal="left" vertical="center" indent="1"/>
    </xf>
    <xf numFmtId="3" fontId="8" fillId="7" borderId="14">
      <alignment horizontal="center" vertical="center" wrapText="1"/>
      <protection locked="0"/>
    </xf>
    <xf numFmtId="49" fontId="8" fillId="9" borderId="12">
      <alignment horizontal="center" vertical="center" wrapText="1"/>
    </xf>
    <xf numFmtId="49" fontId="29" fillId="10" borderId="11">
      <alignment vertical="top" wrapText="1"/>
    </xf>
    <xf numFmtId="49" fontId="29" fillId="10" borderId="58">
      <alignment vertical="top" wrapText="1"/>
    </xf>
    <xf numFmtId="49" fontId="74" fillId="10" borderId="58">
      <alignment horizontal="left" vertical="center" indent="1"/>
    </xf>
    <xf numFmtId="0" fontId="70" fillId="0" borderId="62" applyFill="0">
      <alignment horizontal="left" vertical="center" indent="1"/>
    </xf>
    <xf numFmtId="49" fontId="8" fillId="0" borderId="63" applyFill="0">
      <alignment horizontal="center" vertical="center"/>
    </xf>
    <xf numFmtId="0" fontId="8" fillId="0" borderId="63" applyFill="0">
      <alignment horizontal="right" vertical="center"/>
    </xf>
    <xf numFmtId="0" fontId="8" fillId="0" borderId="63" applyFill="0">
      <alignment horizontal="center" vertical="center"/>
    </xf>
    <xf numFmtId="0" fontId="8" fillId="0" borderId="16" applyFill="0">
      <alignment horizontal="right" vertical="center"/>
    </xf>
    <xf numFmtId="0" fontId="8" fillId="0" borderId="11" applyFill="0">
      <alignment horizontal="right" vertical="center"/>
    </xf>
    <xf numFmtId="49" fontId="8" fillId="4" borderId="14">
      <alignment horizontal="left" vertical="center" indent="1"/>
      <protection locked="0"/>
    </xf>
    <xf numFmtId="0" fontId="8" fillId="20" borderId="14">
      <alignment horizontal="right" vertical="center"/>
    </xf>
    <xf numFmtId="4" fontId="8" fillId="4" borderId="14">
      <alignment horizontal="right" vertical="center"/>
      <protection locked="0"/>
    </xf>
    <xf numFmtId="49" fontId="28" fillId="10" borderId="64">
      <alignment horizontal="left" vertical="center" indent="1"/>
    </xf>
    <xf numFmtId="49" fontId="28" fillId="23" borderId="11">
      <alignment horizontal="left" vertical="center" indent="1"/>
    </xf>
    <xf numFmtId="49" fontId="8" fillId="0" borderId="33" applyFill="0">
      <alignment horizontal="center" vertical="center" wrapText="1"/>
    </xf>
    <xf numFmtId="0" fontId="28" fillId="0" borderId="14" applyFill="0">
      <alignment horizontal="left" vertical="center" indent="1"/>
    </xf>
    <xf numFmtId="49" fontId="8" fillId="0" borderId="21" applyFill="0">
      <alignment horizontal="center" vertical="center" wrapText="1"/>
    </xf>
    <xf numFmtId="0" fontId="24" fillId="0" borderId="21" applyFill="0">
      <alignment vertical="center" wrapText="1"/>
    </xf>
    <xf numFmtId="2" fontId="24" fillId="0" borderId="21" applyFill="0">
      <alignment horizontal="center" vertical="center" wrapText="1"/>
    </xf>
    <xf numFmtId="49" fontId="24" fillId="0" borderId="12" applyFill="0">
      <alignment horizontal="left" vertical="center"/>
    </xf>
    <xf numFmtId="49" fontId="24" fillId="0" borderId="16" applyFill="0">
      <alignment horizontal="left" vertical="center" indent="1"/>
    </xf>
    <xf numFmtId="49" fontId="24" fillId="0" borderId="16" applyFill="0">
      <alignment horizontal="left" vertical="center"/>
    </xf>
    <xf numFmtId="49" fontId="24" fillId="0" borderId="11" applyFill="0">
      <alignment horizontal="left" vertical="center" indent="1"/>
    </xf>
    <xf numFmtId="0" fontId="24" fillId="0" borderId="14" applyFill="0">
      <alignment horizontal="left" vertical="center" indent="1"/>
    </xf>
    <xf numFmtId="49" fontId="79" fillId="0" borderId="17" applyFill="0">
      <alignment vertical="top"/>
    </xf>
    <xf numFmtId="49" fontId="30" fillId="0" borderId="23" applyFill="0">
      <alignment horizontal="center" vertical="top" wrapText="1"/>
    </xf>
    <xf numFmtId="49" fontId="8" fillId="7" borderId="12">
      <alignment horizontal="left" vertical="center" wrapText="1" indent="1"/>
      <protection locked="0"/>
    </xf>
    <xf numFmtId="49" fontId="79" fillId="0" borderId="11" applyFill="0">
      <alignment horizontal="center" vertical="center" wrapText="1"/>
    </xf>
    <xf numFmtId="49" fontId="79" fillId="7" borderId="12">
      <alignment horizontal="left" vertical="center" wrapText="1"/>
      <protection locked="0"/>
    </xf>
    <xf numFmtId="49" fontId="79" fillId="0" borderId="25" applyFill="0">
      <alignment horizontal="center" vertical="center" wrapText="1"/>
    </xf>
    <xf numFmtId="49" fontId="79" fillId="10" borderId="26">
      <alignment horizontal="center" vertical="center"/>
    </xf>
    <xf numFmtId="49" fontId="79" fillId="10" borderId="16">
      <alignment horizontal="center" vertical="center"/>
    </xf>
    <xf numFmtId="49" fontId="8" fillId="0" borderId="21" applyFill="0">
      <alignment horizontal="center" vertical="top" wrapText="1"/>
    </xf>
    <xf numFmtId="49" fontId="79" fillId="0" borderId="19" applyFill="0">
      <alignment vertical="top"/>
    </xf>
    <xf numFmtId="49" fontId="79" fillId="0" borderId="20" applyFill="0">
      <alignment vertical="top"/>
    </xf>
    <xf numFmtId="0" fontId="8" fillId="9" borderId="14">
      <alignment horizontal="left" vertical="top" wrapText="1"/>
    </xf>
    <xf numFmtId="0" fontId="79" fillId="9" borderId="14">
      <alignment horizontal="left" vertical="center" wrapText="1"/>
    </xf>
    <xf numFmtId="0" fontId="28" fillId="10" borderId="12">
      <alignment horizontal="left" vertical="center"/>
    </xf>
    <xf numFmtId="0" fontId="28" fillId="10" borderId="16">
      <alignment horizontal="left" vertical="center"/>
    </xf>
    <xf numFmtId="0" fontId="28" fillId="10" borderId="11">
      <alignment horizontal="left" vertical="center"/>
    </xf>
    <xf numFmtId="49" fontId="79" fillId="9" borderId="14">
      <alignment horizontal="left" vertical="top"/>
    </xf>
    <xf numFmtId="49" fontId="79" fillId="4" borderId="14">
      <alignment horizontal="left" vertical="top"/>
      <protection locked="0"/>
    </xf>
    <xf numFmtId="49" fontId="79" fillId="9" borderId="14">
      <alignment horizontal="left" vertical="center" wrapText="1"/>
    </xf>
    <xf numFmtId="0" fontId="79" fillId="10" borderId="16">
      <alignment vertical="center"/>
    </xf>
    <xf numFmtId="49" fontId="79" fillId="0" borderId="33" applyFill="0">
      <alignment horizontal="left" vertical="top"/>
    </xf>
    <xf numFmtId="49" fontId="79" fillId="9" borderId="33">
      <alignment horizontal="left" vertical="top"/>
    </xf>
    <xf numFmtId="49" fontId="79" fillId="4" borderId="33">
      <alignment horizontal="left" vertical="top"/>
      <protection locked="0"/>
    </xf>
    <xf numFmtId="49" fontId="8" fillId="9" borderId="0" applyBorder="0">
      <alignment horizontal="center" vertical="center" wrapText="1"/>
    </xf>
    <xf numFmtId="0" fontId="28" fillId="0" borderId="33" applyFill="0">
      <alignment horizontal="left" vertical="center"/>
    </xf>
    <xf numFmtId="49" fontId="79" fillId="9" borderId="33">
      <alignment horizontal="left" vertical="center" wrapText="1"/>
    </xf>
    <xf numFmtId="0" fontId="28" fillId="4" borderId="33">
      <alignment horizontal="left" vertical="center"/>
      <protection locked="0"/>
    </xf>
    <xf numFmtId="0" fontId="28" fillId="7" borderId="33">
      <alignment horizontal="left" vertical="center"/>
      <protection locked="0"/>
    </xf>
    <xf numFmtId="49" fontId="24" fillId="0" borderId="12" applyFill="0">
      <alignment horizontal="left" vertical="center" wrapText="1"/>
    </xf>
    <xf numFmtId="0" fontId="24" fillId="0" borderId="12" applyFill="0">
      <alignment horizontal="left" vertical="center"/>
    </xf>
    <xf numFmtId="0" fontId="24" fillId="0" borderId="16" applyFill="0">
      <alignment horizontal="left" vertical="center"/>
    </xf>
    <xf numFmtId="0" fontId="28" fillId="10" borderId="25">
      <alignment horizontal="left" vertical="center"/>
    </xf>
    <xf numFmtId="49" fontId="79" fillId="4" borderId="33">
      <alignment vertical="top"/>
      <protection locked="0"/>
    </xf>
    <xf numFmtId="49" fontId="8" fillId="0" borderId="33" applyFill="0">
      <alignment horizontal="center" vertical="center"/>
    </xf>
    <xf numFmtId="49" fontId="8" fillId="0" borderId="33" applyFill="0">
      <alignment vertical="center" wrapText="1"/>
    </xf>
    <xf numFmtId="0" fontId="8" fillId="0" borderId="20" applyFill="0">
      <alignment horizontal="center" vertical="center"/>
    </xf>
    <xf numFmtId="49" fontId="30" fillId="0" borderId="33" applyFill="0">
      <alignment vertical="center" wrapText="1"/>
    </xf>
    <xf numFmtId="0" fontId="8" fillId="9" borderId="23">
      <alignment horizontal="left" vertical="center" wrapText="1"/>
    </xf>
    <xf numFmtId="49" fontId="8" fillId="9" borderId="23">
      <alignment horizontal="left" vertical="center" wrapText="1"/>
    </xf>
    <xf numFmtId="0" fontId="8" fillId="0" borderId="33" applyFill="0">
      <alignment horizontal="left" vertical="center" wrapText="1"/>
    </xf>
    <xf numFmtId="49" fontId="8" fillId="0" borderId="33" applyFill="0">
      <alignment horizontal="left" vertical="center" wrapText="1"/>
    </xf>
    <xf numFmtId="0" fontId="8" fillId="9" borderId="33">
      <alignment horizontal="left" vertical="center" wrapText="1"/>
    </xf>
    <xf numFmtId="0" fontId="28" fillId="0" borderId="21" applyFill="0">
      <alignment horizontal="left" vertical="center"/>
    </xf>
    <xf numFmtId="0" fontId="28" fillId="10" borderId="24">
      <alignment horizontal="left" vertical="center"/>
    </xf>
    <xf numFmtId="0" fontId="28" fillId="10" borderId="17">
      <alignment horizontal="left" vertical="center"/>
    </xf>
    <xf numFmtId="0" fontId="28" fillId="10" borderId="18">
      <alignment horizontal="left" vertical="center"/>
    </xf>
    <xf numFmtId="49" fontId="8" fillId="7" borderId="23">
      <alignment horizontal="left" vertical="center" wrapText="1"/>
      <protection locked="0"/>
    </xf>
    <xf numFmtId="49" fontId="30" fillId="0" borderId="33" applyFill="0">
      <alignment horizontal="center" vertical="center" wrapText="1"/>
    </xf>
    <xf numFmtId="0" fontId="28" fillId="10" borderId="24">
      <alignment vertical="center"/>
    </xf>
    <xf numFmtId="49" fontId="8" fillId="4" borderId="23">
      <alignment horizontal="left" vertical="center" wrapText="1"/>
      <protection locked="0"/>
    </xf>
    <xf numFmtId="49" fontId="36" fillId="10" borderId="12">
      <alignment vertical="top"/>
    </xf>
    <xf numFmtId="49" fontId="36" fillId="10" borderId="16">
      <alignment vertical="top"/>
    </xf>
    <xf numFmtId="49" fontId="75" fillId="0" borderId="14" applyFill="0">
      <alignment vertical="top" wrapText="1"/>
    </xf>
    <xf numFmtId="49" fontId="14" fillId="0" borderId="14" applyFill="0">
      <alignment horizontal="center" vertical="top" wrapText="1"/>
    </xf>
    <xf numFmtId="49" fontId="14" fillId="20" borderId="14">
      <alignment horizontal="center" vertical="top"/>
    </xf>
    <xf numFmtId="49" fontId="14" fillId="0" borderId="14" applyFill="0">
      <alignment vertical="top" wrapText="1"/>
    </xf>
    <xf numFmtId="0" fontId="14" fillId="0" borderId="14" applyFill="0">
      <alignment vertical="top" wrapText="1"/>
    </xf>
    <xf numFmtId="49" fontId="14" fillId="0" borderId="14" applyFill="0">
      <alignment vertical="top"/>
    </xf>
    <xf numFmtId="49" fontId="75" fillId="0" borderId="14" applyFill="0">
      <alignment vertical="top"/>
    </xf>
    <xf numFmtId="0" fontId="75" fillId="0" borderId="14" applyFill="0">
      <alignment vertical="top" wrapText="1"/>
    </xf>
    <xf numFmtId="49" fontId="75" fillId="0" borderId="14" applyFill="0">
      <alignment horizontal="center" vertical="top" wrapText="1"/>
    </xf>
    <xf numFmtId="49" fontId="75" fillId="20" borderId="14">
      <alignment horizontal="center" vertical="top" wrapText="1"/>
    </xf>
    <xf numFmtId="49" fontId="14" fillId="20" borderId="14">
      <alignment horizontal="center" vertical="top" wrapText="1"/>
    </xf>
    <xf numFmtId="49" fontId="75" fillId="0" borderId="14" applyFill="0">
      <alignment horizontal="left" vertical="top" wrapText="1"/>
    </xf>
    <xf numFmtId="0" fontId="14" fillId="20" borderId="14">
      <alignment horizontal="center" vertical="top" wrapText="1"/>
    </xf>
    <xf numFmtId="0" fontId="75" fillId="20" borderId="14">
      <alignment horizontal="right" vertical="center" wrapText="1"/>
    </xf>
    <xf numFmtId="49" fontId="75" fillId="0" borderId="12" applyFill="0">
      <alignment horizontal="center" vertical="top" wrapText="1"/>
    </xf>
    <xf numFmtId="49" fontId="75" fillId="0" borderId="16" applyFill="0">
      <alignment horizontal="center" vertical="top" wrapText="1"/>
    </xf>
    <xf numFmtId="49" fontId="75" fillId="0" borderId="11" applyFill="0">
      <alignment horizontal="center" vertical="top" wrapText="1"/>
    </xf>
    <xf numFmtId="0" fontId="75" fillId="0" borderId="14" applyFill="0">
      <alignment horizontal="left" vertical="top" wrapText="1"/>
    </xf>
    <xf numFmtId="49" fontId="75" fillId="20" borderId="14">
      <alignment horizontal="left" vertical="top" wrapText="1"/>
    </xf>
    <xf numFmtId="0" fontId="75" fillId="20" borderId="14">
      <alignment horizontal="center" vertical="center" wrapText="1"/>
    </xf>
    <xf numFmtId="49" fontId="75" fillId="0" borderId="23" applyFill="0">
      <alignment horizontal="center" vertical="top" wrapText="1"/>
    </xf>
    <xf numFmtId="49" fontId="75" fillId="0" borderId="33" applyFill="0">
      <alignment horizontal="center" vertical="top" wrapText="1"/>
    </xf>
    <xf numFmtId="0" fontId="75" fillId="0" borderId="23" applyFill="0">
      <alignment horizontal="left" vertical="top" wrapText="1"/>
    </xf>
    <xf numFmtId="49" fontId="75" fillId="0" borderId="24" applyFill="0">
      <alignment horizontal="center" vertical="top" wrapText="1"/>
    </xf>
    <xf numFmtId="0" fontId="75" fillId="0" borderId="11" applyFill="0">
      <alignment horizontal="left" vertical="top" wrapText="1"/>
    </xf>
    <xf numFmtId="49" fontId="75" fillId="0" borderId="21" applyFill="0">
      <alignment horizontal="center" vertical="top" wrapText="1"/>
    </xf>
    <xf numFmtId="49" fontId="75" fillId="0" borderId="26" applyFill="0">
      <alignment horizontal="center" vertical="top" wrapText="1"/>
    </xf>
    <xf numFmtId="49" fontId="75" fillId="0" borderId="19" applyFill="0">
      <alignment horizontal="center" vertical="top" wrapText="1"/>
    </xf>
    <xf numFmtId="0" fontId="75" fillId="0" borderId="23" applyFill="0">
      <alignment vertical="top" wrapText="1"/>
    </xf>
    <xf numFmtId="49" fontId="14" fillId="0" borderId="14" applyFill="0">
      <alignment horizontal="left" vertical="top" wrapText="1"/>
    </xf>
    <xf numFmtId="0" fontId="14" fillId="0" borderId="12" applyFill="0">
      <alignment horizontal="center" vertical="center" wrapText="1"/>
    </xf>
    <xf numFmtId="0" fontId="14" fillId="0" borderId="12" applyFill="0">
      <alignment horizontal="center" vertical="center"/>
    </xf>
    <xf numFmtId="49" fontId="14" fillId="0" borderId="14" applyFill="0">
      <alignment horizontal="center" vertical="center" wrapText="1"/>
    </xf>
    <xf numFmtId="0" fontId="14" fillId="0" borderId="14" applyFill="0">
      <alignment vertical="center" wrapText="1"/>
    </xf>
    <xf numFmtId="49" fontId="75" fillId="0" borderId="12" applyFill="0">
      <alignment horizontal="left" vertical="top" wrapText="1"/>
    </xf>
    <xf numFmtId="0" fontId="14" fillId="0" borderId="14" applyFill="0">
      <alignment horizontal="center" vertical="center" wrapText="1"/>
    </xf>
    <xf numFmtId="0" fontId="14" fillId="0" borderId="23" applyFill="0">
      <alignment vertical="center" wrapText="1"/>
    </xf>
    <xf numFmtId="0" fontId="14" fillId="0" borderId="21" applyFill="0">
      <alignment vertical="center" wrapText="1"/>
    </xf>
    <xf numFmtId="49" fontId="75" fillId="0" borderId="26" applyFill="0">
      <alignment horizontal="left" vertical="top" wrapText="1"/>
    </xf>
    <xf numFmtId="49" fontId="75" fillId="0" borderId="11" applyFill="0">
      <alignment horizontal="left" vertical="top" wrapText="1"/>
    </xf>
    <xf numFmtId="49" fontId="14" fillId="0" borderId="23" applyFill="0">
      <alignment horizontal="center" vertical="center" wrapText="1"/>
    </xf>
    <xf numFmtId="49" fontId="14" fillId="0" borderId="21" applyFill="0">
      <alignment horizontal="center" vertical="center" wrapText="1"/>
    </xf>
    <xf numFmtId="0" fontId="14" fillId="0" borderId="23" applyFill="0">
      <alignment horizontal="center" vertical="center" wrapText="1"/>
    </xf>
    <xf numFmtId="49" fontId="75" fillId="0" borderId="33" applyFill="0">
      <alignment horizontal="left" vertical="top" wrapText="1"/>
    </xf>
    <xf numFmtId="0" fontId="75" fillId="0" borderId="33" applyFill="0">
      <alignment horizontal="left" vertical="top" wrapText="1"/>
    </xf>
    <xf numFmtId="0" fontId="3" fillId="0" borderId="17" applyFill="0">
      <alignment horizontal="left" vertical="center" wrapText="1" indent="1"/>
    </xf>
    <xf numFmtId="0" fontId="3" fillId="0" borderId="36" applyFill="0">
      <alignment horizontal="left" vertical="center" wrapText="1" indent="1"/>
    </xf>
    <xf numFmtId="4" fontId="8" fillId="6" borderId="14">
      <alignment horizontal="left" vertical="center" wrapText="1"/>
    </xf>
    <xf numFmtId="49" fontId="53" fillId="10" borderId="12">
      <alignment horizontal="left" vertical="center"/>
    </xf>
    <xf numFmtId="49" fontId="76" fillId="10" borderId="16">
      <alignment horizontal="left" vertical="center" indent="3"/>
    </xf>
    <xf numFmtId="49" fontId="35" fillId="10" borderId="16">
      <alignment horizontal="center" vertical="center" wrapText="1"/>
    </xf>
    <xf numFmtId="49" fontId="36" fillId="10" borderId="16">
      <alignment horizontal="center" vertical="center" wrapText="1"/>
    </xf>
    <xf numFmtId="49" fontId="36" fillId="10" borderId="11">
      <alignment horizontal="center" vertical="center" wrapText="1"/>
    </xf>
    <xf numFmtId="49" fontId="76" fillId="10" borderId="16">
      <alignment horizontal="left" vertical="center" indent="2"/>
    </xf>
    <xf numFmtId="49" fontId="76" fillId="10" borderId="16">
      <alignment horizontal="left" vertical="center" indent="1"/>
    </xf>
    <xf numFmtId="49" fontId="36" fillId="10" borderId="12">
      <alignment horizontal="left" vertical="top"/>
    </xf>
    <xf numFmtId="49" fontId="76" fillId="10" borderId="16">
      <alignment horizontal="left" vertical="center"/>
    </xf>
    <xf numFmtId="49" fontId="79" fillId="0" borderId="14" applyFill="0">
      <alignment horizontal="center" vertical="top"/>
    </xf>
    <xf numFmtId="49" fontId="79" fillId="0" borderId="12" applyFill="0">
      <alignment horizontal="center" vertical="top"/>
    </xf>
    <xf numFmtId="49" fontId="79" fillId="24" borderId="23">
      <alignment vertical="top"/>
    </xf>
    <xf numFmtId="49" fontId="79" fillId="25" borderId="14">
      <alignment vertical="top"/>
    </xf>
    <xf numFmtId="49" fontId="79" fillId="0" borderId="16" applyFill="0">
      <alignment horizontal="center" vertical="top"/>
    </xf>
    <xf numFmtId="49" fontId="79" fillId="26" borderId="14">
      <alignment vertical="top"/>
    </xf>
    <xf numFmtId="49" fontId="79" fillId="27" borderId="14">
      <alignment vertical="top"/>
    </xf>
    <xf numFmtId="49" fontId="79" fillId="28" borderId="23">
      <alignment vertical="top"/>
    </xf>
    <xf numFmtId="49" fontId="79" fillId="29" borderId="12">
      <alignment vertical="top"/>
    </xf>
    <xf numFmtId="49" fontId="79" fillId="29" borderId="14">
      <alignment vertical="top"/>
    </xf>
    <xf numFmtId="49" fontId="79" fillId="28" borderId="14">
      <alignment vertical="top"/>
    </xf>
    <xf numFmtId="49" fontId="79" fillId="8" borderId="0" applyBorder="0">
      <alignment vertical="top"/>
    </xf>
    <xf numFmtId="0" fontId="79" fillId="0" borderId="0" applyFill="0" applyBorder="0"/>
    <xf numFmtId="49" fontId="8" fillId="6" borderId="51">
      <alignment horizontal="center" vertical="top"/>
    </xf>
    <xf numFmtId="49" fontId="77" fillId="0" borderId="15" applyFill="0">
      <alignment vertical="top" wrapText="1"/>
    </xf>
    <xf numFmtId="0" fontId="79" fillId="0" borderId="15" applyFill="0">
      <alignment vertical="top" wrapText="1"/>
    </xf>
    <xf numFmtId="0" fontId="3" fillId="0" borderId="65" applyFill="0">
      <alignment vertical="top" wrapText="1"/>
    </xf>
    <xf numFmtId="0" fontId="79" fillId="0" borderId="14" applyFill="0">
      <alignment vertical="top" wrapText="1"/>
    </xf>
    <xf numFmtId="49" fontId="79" fillId="0" borderId="23" applyFill="0">
      <alignment vertical="top"/>
    </xf>
    <xf numFmtId="0" fontId="12" fillId="0" borderId="15" applyFill="0">
      <alignment vertical="center" wrapText="1"/>
    </xf>
    <xf numFmtId="0" fontId="3" fillId="0" borderId="0" applyFill="0" applyBorder="0">
      <alignment vertical="top" wrapText="1"/>
    </xf>
    <xf numFmtId="0" fontId="8" fillId="0" borderId="15" applyFill="0">
      <alignment vertical="center" wrapText="1"/>
    </xf>
  </cellStyleXfs>
  <cellXfs count="1389">
    <xf numFmtId="49" fontId="0" fillId="0" borderId="0" xfId="0">
      <alignment vertical="top"/>
    </xf>
    <xf numFmtId="49" fontId="1" fillId="0" borderId="0" xfId="1">
      <alignment wrapText="1"/>
    </xf>
    <xf numFmtId="0" fontId="4" fillId="0" borderId="4" xfId="9">
      <alignment wrapText="1"/>
    </xf>
    <xf numFmtId="0" fontId="79" fillId="4" borderId="6" xfId="10">
      <alignment horizontal="center" vertical="center" wrapText="1"/>
    </xf>
    <xf numFmtId="0" fontId="79" fillId="5" borderId="6" xfId="12">
      <alignment horizontal="center" vertical="center" wrapText="1"/>
    </xf>
    <xf numFmtId="0" fontId="79" fillId="6" borderId="6" xfId="14">
      <alignment horizontal="center" vertical="center" wrapText="1"/>
    </xf>
    <xf numFmtId="0" fontId="79" fillId="7" borderId="6" xfId="15">
      <alignment horizontal="center" vertical="center" wrapText="1"/>
    </xf>
    <xf numFmtId="0" fontId="6" fillId="0" borderId="4" xfId="17">
      <alignment horizontal="left" vertical="center" wrapText="1"/>
    </xf>
    <xf numFmtId="0" fontId="6" fillId="0" borderId="7" xfId="18">
      <alignment horizontal="left" vertical="center" wrapText="1"/>
    </xf>
    <xf numFmtId="0" fontId="5" fillId="0" borderId="4" xfId="21">
      <alignment wrapText="1"/>
    </xf>
    <xf numFmtId="0" fontId="4" fillId="0" borderId="9" xfId="26">
      <alignment wrapText="1"/>
    </xf>
    <xf numFmtId="0" fontId="4" fillId="0" borderId="10" xfId="27">
      <alignment wrapText="1"/>
    </xf>
    <xf numFmtId="0" fontId="4" fillId="0" borderId="10" xfId="28">
      <alignment vertical="center" wrapText="1"/>
    </xf>
    <xf numFmtId="0" fontId="7" fillId="0" borderId="0" xfId="29">
      <alignment vertical="center" wrapText="1"/>
    </xf>
    <xf numFmtId="0" fontId="8" fillId="0" borderId="0" xfId="30">
      <alignment horizontal="left" vertical="top" indent="1"/>
    </xf>
    <xf numFmtId="0" fontId="9" fillId="0" borderId="0" xfId="31">
      <alignment vertical="center" wrapText="1"/>
    </xf>
    <xf numFmtId="0" fontId="79" fillId="0" borderId="0" xfId="32">
      <alignment horizontal="left" vertical="center" indent="1"/>
    </xf>
    <xf numFmtId="0" fontId="8" fillId="0" borderId="0" xfId="33">
      <alignment vertical="center" wrapText="1"/>
    </xf>
    <xf numFmtId="0" fontId="10" fillId="8" borderId="0" xfId="34">
      <alignment vertical="center" wrapText="1"/>
    </xf>
    <xf numFmtId="0" fontId="10" fillId="0" borderId="0" xfId="35">
      <alignment vertical="center" wrapText="1"/>
    </xf>
    <xf numFmtId="0" fontId="11" fillId="8" borderId="0" xfId="36">
      <alignment vertical="center" wrapText="1"/>
    </xf>
    <xf numFmtId="0" fontId="8" fillId="0" borderId="11" xfId="37">
      <alignment horizontal="center" vertical="center" wrapText="1"/>
    </xf>
    <xf numFmtId="0" fontId="8" fillId="0" borderId="12" xfId="38">
      <alignment horizontal="center" vertical="center" wrapText="1"/>
    </xf>
    <xf numFmtId="0" fontId="12" fillId="8" borderId="0" xfId="39">
      <alignment vertical="center" wrapText="1"/>
    </xf>
    <xf numFmtId="0" fontId="10" fillId="8" borderId="0" xfId="40">
      <alignment horizontal="right" vertical="center" wrapText="1" indent="1"/>
    </xf>
    <xf numFmtId="0" fontId="13" fillId="8" borderId="0" xfId="41">
      <alignment horizontal="center" vertical="center" wrapText="1"/>
    </xf>
    <xf numFmtId="0" fontId="8" fillId="8" borderId="13" xfId="42">
      <alignment horizontal="right" vertical="center" wrapText="1" indent="1"/>
    </xf>
    <xf numFmtId="0" fontId="79" fillId="6" borderId="14" xfId="43">
      <alignment horizontal="left" vertical="center" wrapText="1" indent="1"/>
    </xf>
    <xf numFmtId="14" fontId="14" fillId="8" borderId="0" xfId="44">
      <alignment horizontal="left" vertical="center" wrapText="1"/>
    </xf>
    <xf numFmtId="0" fontId="15" fillId="8" borderId="0" xfId="45">
      <alignment horizontal="center" vertical="center" wrapText="1"/>
    </xf>
    <xf numFmtId="0" fontId="10" fillId="8" borderId="0" xfId="46">
      <alignment horizontal="left" vertical="center" wrapText="1" indent="1"/>
    </xf>
    <xf numFmtId="0" fontId="8" fillId="8" borderId="0" xfId="47">
      <alignment horizontal="center" vertical="center" wrapText="1"/>
    </xf>
    <xf numFmtId="0" fontId="8" fillId="7" borderId="14" xfId="48">
      <alignment horizontal="left" vertical="top" wrapText="1" indent="1"/>
      <protection locked="0"/>
    </xf>
    <xf numFmtId="0" fontId="8" fillId="0" borderId="0" xfId="49">
      <alignment horizontal="left" vertical="center" wrapText="1"/>
    </xf>
    <xf numFmtId="49" fontId="8" fillId="9" borderId="14" xfId="50">
      <alignment horizontal="left" vertical="center" wrapText="1" indent="1"/>
    </xf>
    <xf numFmtId="168" fontId="79" fillId="7" borderId="14" xfId="52">
      <alignment horizontal="left" vertical="center" wrapText="1" indent="1"/>
      <protection locked="0"/>
    </xf>
    <xf numFmtId="0" fontId="17" fillId="0" borderId="0" xfId="53">
      <alignment horizontal="left" vertical="center" indent="1"/>
    </xf>
    <xf numFmtId="0" fontId="18" fillId="0" borderId="0" xfId="54">
      <alignment vertical="center" wrapText="1"/>
    </xf>
    <xf numFmtId="0" fontId="8" fillId="8" borderId="0" xfId="55">
      <alignment vertical="center" wrapText="1"/>
    </xf>
    <xf numFmtId="14" fontId="16" fillId="0" borderId="14" xfId="56">
      <alignment horizontal="left" vertical="center" wrapText="1"/>
    </xf>
    <xf numFmtId="49" fontId="8" fillId="8" borderId="13" xfId="57">
      <alignment horizontal="right" vertical="center" wrapText="1" indent="1"/>
    </xf>
    <xf numFmtId="49" fontId="18" fillId="0" borderId="0" xfId="58">
      <alignment vertical="center" wrapText="1"/>
    </xf>
    <xf numFmtId="0" fontId="79" fillId="7" borderId="14" xfId="59">
      <alignment horizontal="left" vertical="center" wrapText="1" indent="1"/>
      <protection locked="0"/>
    </xf>
    <xf numFmtId="49" fontId="8" fillId="7" borderId="14" xfId="60">
      <alignment horizontal="left" vertical="center" wrapText="1" indent="1"/>
      <protection locked="0"/>
    </xf>
    <xf numFmtId="168" fontId="79" fillId="0" borderId="14" xfId="61">
      <alignment horizontal="left" vertical="center" wrapText="1" indent="1"/>
    </xf>
    <xf numFmtId="0" fontId="79" fillId="8" borderId="0" xfId="62">
      <alignment horizontal="right" vertical="center" wrapText="1" indent="1"/>
    </xf>
    <xf numFmtId="0" fontId="8" fillId="8" borderId="0" xfId="64">
      <alignment horizontal="right" vertical="center" wrapText="1" indent="1"/>
    </xf>
    <xf numFmtId="0" fontId="8" fillId="0" borderId="0" xfId="65">
      <alignment horizontal="center" vertical="center" wrapText="1"/>
    </xf>
    <xf numFmtId="0" fontId="19" fillId="0" borderId="0" xfId="66">
      <alignment vertical="center" wrapText="1"/>
    </xf>
    <xf numFmtId="0" fontId="79" fillId="8" borderId="0" xfId="67">
      <alignment horizontal="left" vertical="center" wrapText="1" indent="1"/>
    </xf>
    <xf numFmtId="49" fontId="8" fillId="0" borderId="14" xfId="68">
      <alignment horizontal="left" vertical="center" wrapText="1" indent="1"/>
    </xf>
    <xf numFmtId="0" fontId="20" fillId="8" borderId="0" xfId="69">
      <alignment horizontal="center" vertical="center" wrapText="1"/>
    </xf>
    <xf numFmtId="49" fontId="8" fillId="6" borderId="14" xfId="70">
      <alignment horizontal="left" vertical="center" wrapText="1" indent="1"/>
    </xf>
    <xf numFmtId="14" fontId="8" fillId="8" borderId="0" xfId="71">
      <alignment horizontal="center" vertical="center" wrapText="1"/>
    </xf>
    <xf numFmtId="0" fontId="79" fillId="8" borderId="13" xfId="72">
      <alignment horizontal="right" vertical="center" wrapText="1" indent="1"/>
    </xf>
    <xf numFmtId="14" fontId="8" fillId="8" borderId="0" xfId="73">
      <alignment horizontal="left" vertical="center" wrapText="1"/>
    </xf>
    <xf numFmtId="0" fontId="8" fillId="7" borderId="14" xfId="74">
      <alignment horizontal="left" vertical="center" wrapText="1" indent="1"/>
      <protection locked="0"/>
    </xf>
    <xf numFmtId="0" fontId="21" fillId="8" borderId="0" xfId="75">
      <alignment horizontal="right" vertical="center" wrapText="1" indent="1"/>
    </xf>
    <xf numFmtId="0" fontId="21" fillId="8" borderId="0" xfId="76">
      <alignment horizontal="left" vertical="center" wrapText="1" indent="1"/>
    </xf>
    <xf numFmtId="49" fontId="22" fillId="0" borderId="14" xfId="77">
      <alignment horizontal="left" vertical="center" wrapText="1" indent="1"/>
    </xf>
    <xf numFmtId="0" fontId="8" fillId="9" borderId="14" xfId="78">
      <alignment horizontal="left" vertical="center" wrapText="1" indent="1"/>
    </xf>
    <xf numFmtId="168" fontId="79" fillId="0" borderId="15" xfId="79">
      <alignment horizontal="left" vertical="center" wrapText="1" indent="1"/>
    </xf>
    <xf numFmtId="0" fontId="8" fillId="7" borderId="14" xfId="80">
      <alignment horizontal="left" vertical="center" wrapText="1" indent="1"/>
      <protection locked="0"/>
    </xf>
    <xf numFmtId="49" fontId="11" fillId="8" borderId="0" xfId="81">
      <alignment horizontal="center" vertical="center" wrapText="1"/>
    </xf>
    <xf numFmtId="0" fontId="8" fillId="0" borderId="0" xfId="82">
      <alignment horizontal="left" vertical="center" wrapText="1" indent="4"/>
    </xf>
    <xf numFmtId="49" fontId="8" fillId="8" borderId="0" xfId="83">
      <alignment horizontal="right" vertical="center" wrapText="1" indent="1"/>
    </xf>
    <xf numFmtId="49" fontId="18" fillId="0" borderId="0" xfId="84">
      <alignment horizontal="center" vertical="center" wrapText="1"/>
    </xf>
    <xf numFmtId="49" fontId="79" fillId="8" borderId="0" xfId="85">
      <alignment horizontal="right" vertical="center" wrapText="1" indent="1"/>
    </xf>
    <xf numFmtId="0" fontId="14" fillId="0" borderId="0" xfId="86">
      <alignment horizontal="left" vertical="center" wrapText="1"/>
    </xf>
    <xf numFmtId="0" fontId="9" fillId="0" borderId="0" xfId="87">
      <alignment horizontal="left" vertical="center" wrapText="1"/>
    </xf>
    <xf numFmtId="0" fontId="23" fillId="0" borderId="0" xfId="88">
      <alignment vertical="center" wrapText="1"/>
    </xf>
    <xf numFmtId="0" fontId="9" fillId="0" borderId="0" xfId="89">
      <alignment horizontal="center" vertical="center" wrapText="1"/>
    </xf>
    <xf numFmtId="0" fontId="24" fillId="0" borderId="0" xfId="90">
      <alignment horizontal="left" vertical="center" indent="1"/>
    </xf>
    <xf numFmtId="0" fontId="24" fillId="0" borderId="0" xfId="91">
      <alignment horizontal="center" vertical="center" wrapText="1"/>
    </xf>
    <xf numFmtId="0" fontId="24" fillId="0" borderId="0" xfId="92">
      <alignment horizontal="left" vertical="center" wrapText="1" indent="1"/>
    </xf>
    <xf numFmtId="0" fontId="24" fillId="0" borderId="0" xfId="93">
      <alignment vertical="center" wrapText="1"/>
    </xf>
    <xf numFmtId="0" fontId="25" fillId="0" borderId="0" xfId="94">
      <alignment vertical="center" wrapText="1"/>
    </xf>
    <xf numFmtId="0" fontId="26" fillId="0" borderId="0" xfId="95">
      <alignment vertical="center" wrapText="1"/>
    </xf>
    <xf numFmtId="0" fontId="8" fillId="0" borderId="16" xfId="97">
      <alignment horizontal="center" vertical="center" wrapText="1"/>
    </xf>
    <xf numFmtId="4" fontId="8" fillId="0" borderId="14" xfId="98">
      <alignment horizontal="center" vertical="center" wrapText="1"/>
    </xf>
    <xf numFmtId="169" fontId="8" fillId="0" borderId="12" xfId="99">
      <alignment horizontal="center" vertical="center" wrapText="1"/>
    </xf>
    <xf numFmtId="169" fontId="8" fillId="0" borderId="14" xfId="100">
      <alignment horizontal="center" vertical="center" wrapText="1"/>
    </xf>
    <xf numFmtId="49" fontId="27" fillId="0" borderId="16" xfId="101">
      <alignment horizontal="center" vertical="center" wrapText="1"/>
    </xf>
    <xf numFmtId="49" fontId="8" fillId="10" borderId="17" xfId="102">
      <alignment horizontal="center" vertical="center" wrapText="1"/>
    </xf>
    <xf numFmtId="49" fontId="18" fillId="10" borderId="17" xfId="103">
      <alignment horizontal="left" vertical="center" wrapText="1"/>
    </xf>
    <xf numFmtId="49" fontId="18" fillId="10" borderId="18" xfId="104">
      <alignment horizontal="left" vertical="center" wrapText="1"/>
    </xf>
    <xf numFmtId="0" fontId="24" fillId="0" borderId="19" xfId="105">
      <alignment vertical="center"/>
    </xf>
    <xf numFmtId="0" fontId="24" fillId="0" borderId="0" xfId="106">
      <alignment vertical="center"/>
    </xf>
    <xf numFmtId="0" fontId="8" fillId="0" borderId="14" xfId="107">
      <alignment horizontal="center" vertical="center" wrapText="1"/>
    </xf>
    <xf numFmtId="0" fontId="24" fillId="0" borderId="14" xfId="108">
      <alignment horizontal="center" vertical="center" wrapText="1"/>
    </xf>
    <xf numFmtId="49" fontId="8" fillId="7" borderId="14" xfId="109">
      <alignment vertical="center" wrapText="1"/>
      <protection locked="0"/>
    </xf>
    <xf numFmtId="49" fontId="18" fillId="0" borderId="14" xfId="110">
      <alignment horizontal="left" vertical="center" wrapText="1"/>
    </xf>
    <xf numFmtId="0" fontId="27" fillId="0" borderId="20" xfId="111">
      <alignment vertical="top" wrapText="1"/>
    </xf>
    <xf numFmtId="0" fontId="8" fillId="0" borderId="21" xfId="112">
      <alignment horizontal="center" vertical="center" wrapText="1"/>
    </xf>
    <xf numFmtId="0" fontId="24" fillId="0" borderId="21" xfId="113">
      <alignment horizontal="center" vertical="center" wrapText="1"/>
    </xf>
    <xf numFmtId="14" fontId="8" fillId="9" borderId="21" xfId="114">
      <alignment horizontal="left" vertical="center" wrapText="1" indent="1"/>
    </xf>
    <xf numFmtId="49" fontId="8" fillId="6" borderId="21" xfId="115">
      <alignment horizontal="center" vertical="center" wrapText="1"/>
    </xf>
    <xf numFmtId="49" fontId="79" fillId="0" borderId="0" xfId="116">
      <alignment vertical="top"/>
    </xf>
    <xf numFmtId="49" fontId="12" fillId="10" borderId="12" xfId="117">
      <alignment horizontal="right" vertical="center" wrapText="1"/>
    </xf>
    <xf numFmtId="49" fontId="12" fillId="10" borderId="16" xfId="118">
      <alignment horizontal="right" vertical="center" wrapText="1"/>
    </xf>
    <xf numFmtId="49" fontId="28" fillId="10" borderId="16" xfId="119">
      <alignment horizontal="left" vertical="center" indent="1"/>
    </xf>
    <xf numFmtId="49" fontId="79" fillId="10" borderId="16" xfId="120">
      <alignment horizontal="right" vertical="center" wrapText="1"/>
    </xf>
    <xf numFmtId="49" fontId="79" fillId="10" borderId="11" xfId="121">
      <alignment horizontal="right" vertical="center" wrapText="1"/>
    </xf>
    <xf numFmtId="49" fontId="8" fillId="10" borderId="12" xfId="122">
      <alignment horizontal="right" vertical="center" wrapText="1"/>
    </xf>
    <xf numFmtId="49" fontId="8" fillId="10" borderId="16" xfId="123">
      <alignment horizontal="right" vertical="center" wrapText="1"/>
    </xf>
    <xf numFmtId="49" fontId="28" fillId="10" borderId="16" xfId="124">
      <alignment horizontal="left" vertical="center"/>
    </xf>
    <xf numFmtId="49" fontId="8" fillId="10" borderId="11" xfId="125">
      <alignment horizontal="right" vertical="center" wrapText="1"/>
    </xf>
    <xf numFmtId="0" fontId="8" fillId="0" borderId="22" xfId="126">
      <alignment vertical="center" wrapText="1"/>
    </xf>
    <xf numFmtId="0" fontId="29" fillId="0" borderId="0" xfId="127">
      <alignment vertical="center" wrapText="1"/>
    </xf>
    <xf numFmtId="0" fontId="30" fillId="0" borderId="0" xfId="128">
      <alignment horizontal="center" vertical="center" wrapText="1"/>
    </xf>
    <xf numFmtId="0" fontId="31" fillId="0" borderId="0" xfId="129">
      <alignment vertical="center"/>
    </xf>
    <xf numFmtId="0" fontId="79" fillId="0" borderId="0" xfId="130">
      <alignment vertical="center"/>
    </xf>
    <xf numFmtId="0" fontId="8" fillId="0" borderId="23" xfId="132">
      <alignment horizontal="left" vertical="center" wrapText="1" indent="1"/>
    </xf>
    <xf numFmtId="0" fontId="32" fillId="0" borderId="0" xfId="137">
      <alignment vertical="center"/>
    </xf>
    <xf numFmtId="0" fontId="18" fillId="0" borderId="19" xfId="145">
      <alignment vertical="center"/>
    </xf>
    <xf numFmtId="49" fontId="27" fillId="0" borderId="14" xfId="146">
      <alignment horizontal="center" vertical="center" wrapText="1"/>
    </xf>
    <xf numFmtId="0" fontId="8" fillId="10" borderId="12" xfId="151">
      <alignment horizontal="center" vertical="center" wrapText="1"/>
    </xf>
    <xf numFmtId="49" fontId="8" fillId="10" borderId="16" xfId="152">
      <alignment horizontal="center" vertical="center" wrapText="1"/>
    </xf>
    <xf numFmtId="49" fontId="8" fillId="10" borderId="31" xfId="153">
      <alignment horizontal="center" vertical="center" wrapText="1"/>
    </xf>
    <xf numFmtId="49" fontId="79" fillId="10" borderId="16" xfId="154">
      <alignment horizontal="left" vertical="center"/>
    </xf>
    <xf numFmtId="0" fontId="79" fillId="10" borderId="11" xfId="155">
      <alignment vertical="center"/>
    </xf>
    <xf numFmtId="49" fontId="8" fillId="0" borderId="14" xfId="156">
      <alignment horizontal="center" vertical="center" wrapText="1"/>
    </xf>
    <xf numFmtId="49" fontId="8" fillId="9" borderId="14" xfId="162">
      <alignment horizontal="center" vertical="center" wrapText="1"/>
    </xf>
    <xf numFmtId="49" fontId="8" fillId="0" borderId="23" xfId="163">
      <alignment horizontal="center" vertical="center" wrapText="1"/>
    </xf>
    <xf numFmtId="49" fontId="33" fillId="7" borderId="14" xfId="164">
      <alignment horizontal="left" vertical="center" wrapText="1" indent="1"/>
      <protection locked="0"/>
    </xf>
    <xf numFmtId="0" fontId="8" fillId="0" borderId="0" xfId="165">
      <alignment vertical="center"/>
    </xf>
    <xf numFmtId="0" fontId="18" fillId="0" borderId="0" xfId="166">
      <alignment vertical="center"/>
    </xf>
    <xf numFmtId="49" fontId="28" fillId="10" borderId="11" xfId="169">
      <alignment horizontal="left" vertical="center" indent="1"/>
    </xf>
    <xf numFmtId="49" fontId="12" fillId="10" borderId="34" xfId="171">
      <alignment horizontal="right" vertical="center" wrapText="1"/>
    </xf>
    <xf numFmtId="49" fontId="12" fillId="10" borderId="35" xfId="172">
      <alignment horizontal="right" vertical="center" wrapText="1"/>
    </xf>
    <xf numFmtId="49" fontId="12" fillId="10" borderId="11" xfId="173">
      <alignment horizontal="right" vertical="center" wrapText="1"/>
    </xf>
    <xf numFmtId="0" fontId="33" fillId="11" borderId="0" xfId="174">
      <alignment vertical="top"/>
    </xf>
    <xf numFmtId="49" fontId="28" fillId="10" borderId="16" xfId="175">
      <alignment horizontal="left" vertical="center" indent="2"/>
    </xf>
    <xf numFmtId="0" fontId="36" fillId="0" borderId="0" xfId="183">
      <alignment vertical="center"/>
    </xf>
    <xf numFmtId="0" fontId="79" fillId="0" borderId="14" xfId="184">
      <alignment horizontal="center" vertical="center" wrapText="1"/>
    </xf>
    <xf numFmtId="49" fontId="24" fillId="8" borderId="0" xfId="185">
      <alignment horizontal="center" vertical="center" wrapText="1"/>
    </xf>
    <xf numFmtId="0" fontId="24" fillId="0" borderId="14" xfId="187">
      <alignment horizontal="center" vertical="center"/>
    </xf>
    <xf numFmtId="0" fontId="79" fillId="0" borderId="14" xfId="188">
      <alignment horizontal="center" vertical="center"/>
    </xf>
    <xf numFmtId="49" fontId="79" fillId="0" borderId="14" xfId="189">
      <alignment horizontal="center" vertical="center"/>
    </xf>
    <xf numFmtId="49" fontId="79" fillId="0" borderId="14" xfId="190">
      <alignment horizontal="left" vertical="center"/>
    </xf>
    <xf numFmtId="0" fontId="8" fillId="0" borderId="14" xfId="192">
      <alignment horizontal="left" vertical="top" wrapText="1"/>
    </xf>
    <xf numFmtId="49" fontId="8" fillId="0" borderId="17" xfId="196">
      <alignment horizontal="left" vertical="center" wrapText="1"/>
    </xf>
    <xf numFmtId="49" fontId="8" fillId="0" borderId="17" xfId="197">
      <alignment horizontal="center" vertical="center" wrapText="1"/>
    </xf>
    <xf numFmtId="49" fontId="79" fillId="0" borderId="17" xfId="199">
      <alignment horizontal="left" vertical="center" wrapText="1"/>
    </xf>
    <xf numFmtId="49" fontId="8" fillId="0" borderId="18" xfId="200">
      <alignment horizontal="left" vertical="center" wrapText="1"/>
    </xf>
    <xf numFmtId="0" fontId="8" fillId="0" borderId="0" xfId="201">
      <alignment horizontal="left" vertical="center" indent="1"/>
    </xf>
    <xf numFmtId="0" fontId="8" fillId="9" borderId="33" xfId="202">
      <alignment horizontal="center" vertical="top" wrapText="1"/>
    </xf>
    <xf numFmtId="0" fontId="28" fillId="0" borderId="20" xfId="204">
      <alignment horizontal="left" vertical="center"/>
    </xf>
    <xf numFmtId="49" fontId="79" fillId="0" borderId="14" xfId="205">
      <alignment vertical="top"/>
    </xf>
    <xf numFmtId="0" fontId="28" fillId="0" borderId="26" xfId="208">
      <alignment horizontal="left" vertical="center"/>
    </xf>
    <xf numFmtId="0" fontId="28" fillId="0" borderId="36" xfId="209">
      <alignment horizontal="left" vertical="center"/>
    </xf>
    <xf numFmtId="0" fontId="79" fillId="0" borderId="36" xfId="210">
      <alignment vertical="center"/>
    </xf>
    <xf numFmtId="0" fontId="28" fillId="0" borderId="25" xfId="211">
      <alignment horizontal="left" vertical="center"/>
    </xf>
    <xf numFmtId="49" fontId="8" fillId="0" borderId="0" xfId="213">
      <alignment horizontal="left" vertical="center" indent="1"/>
    </xf>
    <xf numFmtId="0" fontId="8" fillId="0" borderId="33" xfId="218">
      <alignment horizontal="left" vertical="top" wrapText="1"/>
    </xf>
    <xf numFmtId="49" fontId="24" fillId="0" borderId="0" xfId="223">
      <alignment vertical="top"/>
    </xf>
    <xf numFmtId="49" fontId="24" fillId="0" borderId="0" xfId="224">
      <alignment horizontal="center" vertical="center"/>
    </xf>
    <xf numFmtId="49" fontId="36" fillId="0" borderId="0" xfId="225">
      <alignment vertical="top"/>
    </xf>
    <xf numFmtId="0" fontId="8" fillId="0" borderId="24" xfId="228">
      <alignment horizontal="center" vertical="center" wrapText="1"/>
    </xf>
    <xf numFmtId="0" fontId="8" fillId="0" borderId="18" xfId="229">
      <alignment horizontal="center" vertical="center" wrapText="1"/>
    </xf>
    <xf numFmtId="0" fontId="8" fillId="0" borderId="33" xfId="230">
      <alignment horizontal="center" vertical="center" wrapText="1"/>
    </xf>
    <xf numFmtId="0" fontId="8" fillId="0" borderId="23" xfId="231">
      <alignment horizontal="center" vertical="center" wrapText="1"/>
    </xf>
    <xf numFmtId="0" fontId="8" fillId="0" borderId="19" xfId="232">
      <alignment horizontal="center" vertical="center" wrapText="1"/>
    </xf>
    <xf numFmtId="49" fontId="8" fillId="0" borderId="0" xfId="236">
      <alignment vertical="top"/>
    </xf>
    <xf numFmtId="49" fontId="8" fillId="0" borderId="14" xfId="237">
      <alignment horizontal="center" vertical="center"/>
    </xf>
    <xf numFmtId="0" fontId="8" fillId="0" borderId="14" xfId="238">
      <alignment horizontal="left" vertical="center" wrapText="1"/>
    </xf>
    <xf numFmtId="49" fontId="8" fillId="0" borderId="24" xfId="240">
      <alignment vertical="center" wrapText="1"/>
    </xf>
    <xf numFmtId="49" fontId="8" fillId="0" borderId="17" xfId="242">
      <alignment vertical="center" wrapText="1"/>
    </xf>
    <xf numFmtId="49" fontId="30" fillId="0" borderId="17" xfId="243">
      <alignment vertical="center" wrapText="1"/>
    </xf>
    <xf numFmtId="0" fontId="8" fillId="0" borderId="17" xfId="244">
      <alignment horizontal="left" vertical="center" wrapText="1"/>
    </xf>
    <xf numFmtId="49" fontId="8" fillId="9" borderId="33" xfId="245">
      <alignment horizontal="center" vertical="center" wrapText="1"/>
    </xf>
    <xf numFmtId="49" fontId="8" fillId="0" borderId="19" xfId="246">
      <alignment vertical="center" wrapText="1"/>
    </xf>
    <xf numFmtId="0" fontId="28" fillId="0" borderId="19" xfId="247">
      <alignment horizontal="left" vertical="center"/>
    </xf>
    <xf numFmtId="49" fontId="8" fillId="0" borderId="23" xfId="248">
      <alignment horizontal="center" vertical="center"/>
    </xf>
    <xf numFmtId="0" fontId="8" fillId="0" borderId="23" xfId="249">
      <alignment horizontal="left" vertical="center" wrapText="1"/>
    </xf>
    <xf numFmtId="49" fontId="36" fillId="0" borderId="26" xfId="251">
      <alignment vertical="top"/>
    </xf>
    <xf numFmtId="49" fontId="36" fillId="0" borderId="36" xfId="252">
      <alignment vertical="top"/>
    </xf>
    <xf numFmtId="49" fontId="9" fillId="0" borderId="0" xfId="253">
      <alignment vertical="top"/>
    </xf>
    <xf numFmtId="0" fontId="8" fillId="0" borderId="12" xfId="254">
      <alignment horizontal="left" vertical="center" wrapText="1"/>
    </xf>
    <xf numFmtId="0" fontId="8" fillId="8" borderId="0" xfId="255"/>
    <xf numFmtId="0" fontId="79" fillId="8" borderId="0" xfId="256"/>
    <xf numFmtId="0" fontId="24" fillId="8" borderId="0" xfId="257"/>
    <xf numFmtId="0" fontId="21" fillId="8" borderId="0" xfId="258">
      <alignment horizontal="center"/>
    </xf>
    <xf numFmtId="0" fontId="21" fillId="8" borderId="0" xfId="259"/>
    <xf numFmtId="0" fontId="37" fillId="8" borderId="0" xfId="260">
      <alignment horizontal="right" vertical="center"/>
    </xf>
    <xf numFmtId="0" fontId="24" fillId="8" borderId="0" xfId="261">
      <alignment vertical="center" wrapText="1"/>
    </xf>
    <xf numFmtId="49" fontId="79" fillId="8" borderId="14" xfId="263">
      <alignment horizontal="center" vertical="center" wrapText="1"/>
    </xf>
    <xf numFmtId="49" fontId="8" fillId="8" borderId="14" xfId="264">
      <alignment horizontal="center" vertical="center" wrapText="1"/>
    </xf>
    <xf numFmtId="0" fontId="79" fillId="8" borderId="14" xfId="265">
      <alignment horizontal="center" vertical="center" wrapText="1"/>
    </xf>
    <xf numFmtId="0" fontId="8" fillId="8" borderId="14" xfId="266">
      <alignment horizontal="center" vertical="center" wrapText="1"/>
    </xf>
    <xf numFmtId="0" fontId="27" fillId="8" borderId="0" xfId="267">
      <alignment horizontal="center" vertical="center"/>
    </xf>
    <xf numFmtId="49" fontId="24" fillId="0" borderId="14" xfId="268">
      <alignment horizontal="center" vertical="center"/>
    </xf>
    <xf numFmtId="0" fontId="24" fillId="0" borderId="14" xfId="269">
      <alignment vertical="center" wrapText="1"/>
    </xf>
    <xf numFmtId="0" fontId="24" fillId="0" borderId="14" xfId="270">
      <alignment horizontal="left" vertical="center" wrapText="1"/>
    </xf>
    <xf numFmtId="0" fontId="38" fillId="8" borderId="0" xfId="271"/>
    <xf numFmtId="49" fontId="79" fillId="8" borderId="14" xfId="272">
      <alignment horizontal="center" vertical="center"/>
    </xf>
    <xf numFmtId="0" fontId="79" fillId="8" borderId="14" xfId="273">
      <alignment vertical="center" wrapText="1"/>
    </xf>
    <xf numFmtId="0" fontId="8" fillId="8" borderId="14" xfId="274">
      <alignment vertical="center" wrapText="1"/>
    </xf>
    <xf numFmtId="0" fontId="79" fillId="8" borderId="14" xfId="275">
      <alignment horizontal="left" vertical="center" wrapText="1" indent="1"/>
    </xf>
    <xf numFmtId="49" fontId="79" fillId="7" borderId="14" xfId="276">
      <alignment horizontal="left" vertical="center" wrapText="1"/>
      <protection locked="0"/>
    </xf>
    <xf numFmtId="0" fontId="24" fillId="0" borderId="14" xfId="277">
      <alignment horizontal="left" vertical="center" wrapText="1" indent="1"/>
    </xf>
    <xf numFmtId="49" fontId="8" fillId="8" borderId="0" xfId="278">
      <alignment horizontal="center" vertical="center" wrapText="1"/>
    </xf>
    <xf numFmtId="0" fontId="8" fillId="8" borderId="20" xfId="279">
      <alignment horizontal="center" vertical="center" wrapText="1"/>
    </xf>
    <xf numFmtId="0" fontId="79" fillId="8" borderId="14" xfId="280">
      <alignment horizontal="center" vertical="center"/>
    </xf>
    <xf numFmtId="0" fontId="79" fillId="8" borderId="14" xfId="281">
      <alignment horizontal="left" vertical="center" wrapText="1" indent="2"/>
    </xf>
    <xf numFmtId="49" fontId="79" fillId="0" borderId="14" xfId="282">
      <alignment horizontal="left" vertical="center" wrapText="1"/>
    </xf>
    <xf numFmtId="49" fontId="8" fillId="8" borderId="0" xfId="283">
      <alignment vertical="center" wrapText="1"/>
    </xf>
    <xf numFmtId="0" fontId="8" fillId="8" borderId="20" xfId="284">
      <alignment vertical="center" wrapText="1"/>
    </xf>
    <xf numFmtId="0" fontId="8" fillId="10" borderId="12" xfId="285">
      <alignment horizontal="center"/>
    </xf>
    <xf numFmtId="0" fontId="37" fillId="10" borderId="16" xfId="286">
      <alignment horizontal="left" vertical="center"/>
    </xf>
    <xf numFmtId="0" fontId="37" fillId="10" borderId="11" xfId="287">
      <alignment horizontal="left" vertical="center"/>
    </xf>
    <xf numFmtId="49" fontId="24" fillId="8" borderId="14" xfId="288">
      <alignment horizontal="center" vertical="center"/>
    </xf>
    <xf numFmtId="0" fontId="24" fillId="8" borderId="14" xfId="289">
      <alignment vertical="center" wrapText="1"/>
    </xf>
    <xf numFmtId="0" fontId="24" fillId="8" borderId="14" xfId="290">
      <alignment horizontal="left" vertical="center" wrapText="1" indent="1"/>
    </xf>
    <xf numFmtId="0" fontId="24" fillId="8" borderId="14" xfId="291">
      <alignment horizontal="left" vertical="center" wrapText="1" indent="2"/>
    </xf>
    <xf numFmtId="49" fontId="24" fillId="0" borderId="14" xfId="292">
      <alignment horizontal="left" vertical="center" wrapText="1"/>
    </xf>
    <xf numFmtId="0" fontId="79" fillId="8" borderId="14" xfId="293">
      <alignment horizontal="left" vertical="center" wrapText="1"/>
    </xf>
    <xf numFmtId="49" fontId="79" fillId="4" borderId="14" xfId="294">
      <alignment horizontal="left" vertical="center" wrapText="1"/>
      <protection locked="0"/>
    </xf>
    <xf numFmtId="0" fontId="79" fillId="8" borderId="23" xfId="295">
      <alignment horizontal="left" vertical="center" wrapText="1"/>
    </xf>
    <xf numFmtId="49" fontId="79" fillId="0" borderId="14" xfId="297">
      <alignment horizontal="left" vertical="center" wrapText="1" indent="1"/>
    </xf>
    <xf numFmtId="0" fontId="30" fillId="8" borderId="0" xfId="299">
      <alignment horizontal="center" vertical="center" wrapText="1"/>
    </xf>
    <xf numFmtId="49" fontId="79" fillId="7" borderId="14" xfId="300">
      <alignment horizontal="left" vertical="center" wrapText="1" indent="1"/>
      <protection locked="0"/>
    </xf>
    <xf numFmtId="49" fontId="8" fillId="7" borderId="12" xfId="301">
      <alignment horizontal="left" vertical="center" wrapText="1"/>
      <protection locked="0"/>
    </xf>
    <xf numFmtId="0" fontId="39" fillId="8" borderId="0" xfId="303"/>
    <xf numFmtId="49" fontId="8" fillId="7" borderId="14" xfId="304" quotePrefix="1">
      <alignment horizontal="left" vertical="center" wrapText="1"/>
      <protection locked="0"/>
    </xf>
    <xf numFmtId="49" fontId="8" fillId="4" borderId="14" xfId="305">
      <alignment horizontal="left" vertical="center" wrapText="1"/>
      <protection locked="0"/>
    </xf>
    <xf numFmtId="49" fontId="8" fillId="9" borderId="14" xfId="306">
      <alignment horizontal="left" vertical="center" wrapText="1"/>
    </xf>
    <xf numFmtId="0" fontId="79" fillId="8" borderId="12" xfId="307">
      <alignment horizontal="left" vertical="center" wrapText="1" indent="1"/>
    </xf>
    <xf numFmtId="49" fontId="8" fillId="9" borderId="12" xfId="308">
      <alignment horizontal="left" vertical="center" wrapText="1"/>
    </xf>
    <xf numFmtId="0" fontId="79" fillId="8" borderId="14" xfId="309">
      <alignment vertical="top" wrapText="1"/>
    </xf>
    <xf numFmtId="0" fontId="79" fillId="8" borderId="12" xfId="310">
      <alignment horizontal="left" vertical="center" wrapText="1"/>
    </xf>
    <xf numFmtId="0" fontId="79" fillId="8" borderId="21" xfId="311">
      <alignment vertical="center" wrapText="1"/>
    </xf>
    <xf numFmtId="0" fontId="40" fillId="8" borderId="0" xfId="313"/>
    <xf numFmtId="0" fontId="33" fillId="8" borderId="0" xfId="314">
      <alignment horizontal="center"/>
    </xf>
    <xf numFmtId="0" fontId="33" fillId="8" borderId="0" xfId="315"/>
    <xf numFmtId="0" fontId="41" fillId="8" borderId="0" xfId="316">
      <alignment horizontal="right" vertical="center"/>
    </xf>
    <xf numFmtId="0" fontId="42" fillId="8" borderId="0" xfId="317">
      <alignment vertical="center"/>
    </xf>
    <xf numFmtId="0" fontId="41" fillId="8" borderId="0" xfId="318">
      <alignment horizontal="right" vertical="top"/>
    </xf>
    <xf numFmtId="0" fontId="42" fillId="8" borderId="0" xfId="319">
      <alignment vertical="center" wrapText="1"/>
    </xf>
    <xf numFmtId="0" fontId="79" fillId="8" borderId="0" xfId="320">
      <alignment horizontal="center"/>
    </xf>
    <xf numFmtId="0" fontId="18" fillId="0" borderId="0" xfId="321">
      <alignment horizontal="center" vertical="center" wrapText="1"/>
    </xf>
    <xf numFmtId="0" fontId="43" fillId="8" borderId="0" xfId="322">
      <alignment horizontal="center" vertical="center" wrapText="1"/>
    </xf>
    <xf numFmtId="0" fontId="43" fillId="8" borderId="0" xfId="323">
      <alignment horizontal="right" vertical="center" wrapText="1"/>
    </xf>
    <xf numFmtId="0" fontId="43" fillId="0" borderId="0" xfId="324">
      <alignment vertical="center" wrapText="1"/>
    </xf>
    <xf numFmtId="0" fontId="8" fillId="0" borderId="21" xfId="326">
      <alignment horizontal="left" vertical="center" wrapText="1" indent="1"/>
    </xf>
    <xf numFmtId="0" fontId="44" fillId="8" borderId="0" xfId="328">
      <alignment horizontal="center" vertical="center" wrapText="1"/>
    </xf>
    <xf numFmtId="0" fontId="79" fillId="0" borderId="12" xfId="329">
      <alignment horizontal="center" vertical="center" wrapText="1"/>
    </xf>
    <xf numFmtId="0" fontId="79" fillId="0" borderId="11" xfId="331">
      <alignment horizontal="center" vertical="center" wrapText="1"/>
    </xf>
    <xf numFmtId="0" fontId="79" fillId="0" borderId="23" xfId="332">
      <alignment horizontal="center" vertical="center" wrapText="1"/>
    </xf>
    <xf numFmtId="0" fontId="79" fillId="0" borderId="18" xfId="334">
      <alignment horizontal="center" vertical="center" wrapText="1"/>
    </xf>
    <xf numFmtId="0" fontId="79" fillId="0" borderId="21" xfId="335">
      <alignment horizontal="center" vertical="center" wrapText="1"/>
    </xf>
    <xf numFmtId="0" fontId="79" fillId="0" borderId="25" xfId="337">
      <alignment horizontal="center" vertical="center" wrapText="1"/>
    </xf>
    <xf numFmtId="0" fontId="27" fillId="8" borderId="0" xfId="338">
      <alignment horizontal="center" vertical="center" wrapText="1"/>
    </xf>
    <xf numFmtId="49" fontId="27" fillId="8" borderId="0" xfId="339">
      <alignment horizontal="center" vertical="center" wrapText="1"/>
    </xf>
    <xf numFmtId="0" fontId="45" fillId="8" borderId="0" xfId="340">
      <alignment horizontal="center" vertical="center" wrapText="1"/>
    </xf>
    <xf numFmtId="49" fontId="35" fillId="0" borderId="23" xfId="341">
      <alignment horizontal="left" vertical="center" wrapText="1"/>
    </xf>
    <xf numFmtId="49" fontId="35" fillId="0" borderId="14" xfId="342">
      <alignment horizontal="left" vertical="center" wrapText="1"/>
    </xf>
    <xf numFmtId="49" fontId="79" fillId="0" borderId="14" xfId="343">
      <alignment vertical="top" wrapText="1"/>
    </xf>
    <xf numFmtId="0" fontId="35" fillId="0" borderId="0" xfId="344">
      <alignment vertical="center" wrapText="1"/>
    </xf>
    <xf numFmtId="49" fontId="79" fillId="0" borderId="14" xfId="345">
      <alignment horizontal="center" vertical="center" wrapText="1"/>
    </xf>
    <xf numFmtId="0" fontId="8" fillId="9" borderId="12" xfId="346">
      <alignment horizontal="left" vertical="center" wrapText="1"/>
    </xf>
    <xf numFmtId="49" fontId="27" fillId="8" borderId="14" xfId="347">
      <alignment horizontal="center" vertical="center" wrapText="1"/>
    </xf>
    <xf numFmtId="4" fontId="79" fillId="7" borderId="14" xfId="348">
      <alignment horizontal="right" vertical="center" wrapText="1"/>
      <protection locked="0"/>
    </xf>
    <xf numFmtId="3" fontId="79" fillId="7" borderId="14" xfId="349">
      <alignment horizontal="right" vertical="center" wrapText="1"/>
      <protection locked="0"/>
    </xf>
    <xf numFmtId="4" fontId="79" fillId="7" borderId="11" xfId="350">
      <alignment horizontal="right" vertical="center" wrapText="1"/>
      <protection locked="0"/>
    </xf>
    <xf numFmtId="0" fontId="79" fillId="4" borderId="14" xfId="351">
      <alignment horizontal="right" vertical="center" wrapText="1"/>
      <protection locked="0"/>
    </xf>
    <xf numFmtId="3" fontId="79" fillId="0" borderId="11" xfId="352">
      <alignment horizontal="right" vertical="center" wrapText="1"/>
    </xf>
    <xf numFmtId="49" fontId="12" fillId="10" borderId="12" xfId="354">
      <alignment horizontal="center" vertical="center"/>
    </xf>
    <xf numFmtId="0" fontId="28" fillId="10" borderId="16" xfId="355">
      <alignment vertical="center"/>
    </xf>
    <xf numFmtId="49" fontId="28" fillId="10" borderId="16" xfId="356">
      <alignment vertical="center"/>
    </xf>
    <xf numFmtId="49" fontId="37" fillId="10" borderId="16" xfId="357">
      <alignment vertical="center"/>
    </xf>
    <xf numFmtId="49" fontId="37" fillId="10" borderId="11" xfId="358">
      <alignment vertical="center"/>
    </xf>
    <xf numFmtId="0" fontId="30" fillId="8" borderId="14" xfId="362">
      <alignment horizontal="center" vertical="center" wrapText="1"/>
    </xf>
    <xf numFmtId="49" fontId="8" fillId="7" borderId="14" xfId="363">
      <alignment horizontal="left" vertical="center" wrapText="1"/>
      <protection locked="0"/>
    </xf>
    <xf numFmtId="3" fontId="8" fillId="7" borderId="14" xfId="364">
      <alignment horizontal="right" vertical="center" wrapText="1"/>
      <protection locked="0"/>
    </xf>
    <xf numFmtId="0" fontId="10" fillId="8" borderId="0" xfId="368">
      <alignment horizontal="right" vertical="center"/>
    </xf>
    <xf numFmtId="0" fontId="10" fillId="8" borderId="0" xfId="369">
      <alignment horizontal="right" vertical="center" wrapText="1"/>
    </xf>
    <xf numFmtId="49" fontId="27" fillId="8" borderId="16" xfId="370">
      <alignment horizontal="center" vertical="center" wrapText="1"/>
    </xf>
    <xf numFmtId="49" fontId="8" fillId="0" borderId="14" xfId="371">
      <alignment horizontal="left" vertical="center" wrapText="1"/>
    </xf>
    <xf numFmtId="0" fontId="30" fillId="8" borderId="20" xfId="372">
      <alignment vertical="top" wrapText="1"/>
    </xf>
    <xf numFmtId="14" fontId="8" fillId="10" borderId="16" xfId="373">
      <alignment horizontal="center" vertical="center" wrapText="1"/>
    </xf>
    <xf numFmtId="14" fontId="34" fillId="10" borderId="16" xfId="374">
      <alignment horizontal="center" vertical="center" wrapText="1"/>
    </xf>
    <xf numFmtId="49" fontId="17" fillId="10" borderId="11" xfId="375">
      <alignment horizontal="left" vertical="center" wrapText="1"/>
    </xf>
    <xf numFmtId="0" fontId="30" fillId="8" borderId="0" xfId="377">
      <alignment vertical="top" wrapText="1"/>
    </xf>
    <xf numFmtId="0" fontId="24" fillId="8" borderId="21" xfId="378">
      <alignment horizontal="center" vertical="center" wrapText="1"/>
    </xf>
    <xf numFmtId="14" fontId="8" fillId="9" borderId="21" xfId="379">
      <alignment horizontal="left" vertical="center" wrapText="1"/>
    </xf>
    <xf numFmtId="14" fontId="8" fillId="9" borderId="14" xfId="380">
      <alignment horizontal="center" vertical="center" wrapText="1"/>
    </xf>
    <xf numFmtId="49" fontId="17" fillId="7" borderId="14" xfId="381">
      <alignment horizontal="left" vertical="center" wrapText="1"/>
      <protection locked="0"/>
    </xf>
    <xf numFmtId="0" fontId="24" fillId="0" borderId="0" xfId="382">
      <alignment horizontal="left" vertical="center" wrapText="1"/>
    </xf>
    <xf numFmtId="49" fontId="24" fillId="0" borderId="0" xfId="383">
      <alignment horizontal="left" vertical="center" wrapText="1"/>
    </xf>
    <xf numFmtId="49" fontId="12" fillId="10" borderId="16" xfId="384">
      <alignment horizontal="center" vertical="center"/>
    </xf>
    <xf numFmtId="49" fontId="37" fillId="10" borderId="16" xfId="385">
      <alignment horizontal="left" vertical="center" indent="1"/>
    </xf>
    <xf numFmtId="49" fontId="37" fillId="10" borderId="11" xfId="386">
      <alignment horizontal="left" vertical="center" indent="1"/>
    </xf>
    <xf numFmtId="0" fontId="29" fillId="0" borderId="0" xfId="387">
      <alignment vertical="top"/>
    </xf>
    <xf numFmtId="49" fontId="8" fillId="0" borderId="20" xfId="389">
      <alignment vertical="top"/>
    </xf>
    <xf numFmtId="0" fontId="8" fillId="8" borderId="14" xfId="390">
      <alignment horizontal="left" vertical="center" wrapText="1"/>
    </xf>
    <xf numFmtId="0" fontId="8" fillId="0" borderId="14" xfId="391">
      <alignment vertical="center" wrapText="1"/>
    </xf>
    <xf numFmtId="0" fontId="8" fillId="0" borderId="14" xfId="392">
      <alignment horizontal="left" vertical="center" wrapText="1" indent="6"/>
    </xf>
    <xf numFmtId="0" fontId="8" fillId="6" borderId="16" xfId="394">
      <alignment horizontal="left" vertical="center" wrapText="1"/>
    </xf>
    <xf numFmtId="0" fontId="29" fillId="0" borderId="14" xfId="396">
      <alignment vertical="top" wrapText="1"/>
    </xf>
    <xf numFmtId="0" fontId="26" fillId="8" borderId="0" xfId="398">
      <alignment horizontal="center" vertical="center" wrapText="1"/>
    </xf>
    <xf numFmtId="0" fontId="8" fillId="0" borderId="20" xfId="399">
      <alignment vertical="center" wrapText="1"/>
    </xf>
    <xf numFmtId="0" fontId="8" fillId="8" borderId="14" xfId="400">
      <alignment horizontal="left" vertical="center" wrapText="1" indent="1"/>
    </xf>
    <xf numFmtId="0" fontId="8" fillId="8" borderId="14" xfId="401">
      <alignment horizontal="left" vertical="center" wrapText="1" indent="2"/>
    </xf>
    <xf numFmtId="0" fontId="8" fillId="8" borderId="14" xfId="402">
      <alignment horizontal="left" vertical="center" wrapText="1" indent="3"/>
    </xf>
    <xf numFmtId="0" fontId="18" fillId="0" borderId="14" xfId="403">
      <alignment horizontal="center" vertical="center" wrapText="1"/>
    </xf>
    <xf numFmtId="0" fontId="18" fillId="0" borderId="0" xfId="404">
      <alignment horizontal="center" vertical="center"/>
    </xf>
    <xf numFmtId="0" fontId="24" fillId="0" borderId="20" xfId="405">
      <alignment horizontal="center" vertical="center" wrapText="1"/>
    </xf>
    <xf numFmtId="0" fontId="8" fillId="8" borderId="14" xfId="406">
      <alignment horizontal="left" vertical="center" wrapText="1" indent="4"/>
    </xf>
    <xf numFmtId="0" fontId="24" fillId="0" borderId="20" xfId="410">
      <alignment vertical="center" wrapText="1"/>
    </xf>
    <xf numFmtId="0" fontId="8" fillId="8" borderId="14" xfId="411">
      <alignment horizontal="left" vertical="center" wrapText="1" indent="5"/>
    </xf>
    <xf numFmtId="0" fontId="8" fillId="9" borderId="14" xfId="412">
      <alignment horizontal="left" vertical="center" wrapText="1" indent="6"/>
    </xf>
    <xf numFmtId="4" fontId="8" fillId="4" borderId="14" xfId="413">
      <alignment horizontal="right" vertical="center" wrapText="1"/>
      <protection locked="0"/>
    </xf>
    <xf numFmtId="4" fontId="8" fillId="0" borderId="14" xfId="414">
      <alignment horizontal="right" vertical="center" wrapText="1"/>
    </xf>
    <xf numFmtId="170" fontId="8" fillId="4" borderId="14" xfId="415">
      <alignment horizontal="right" vertical="center" wrapText="1"/>
      <protection locked="0"/>
    </xf>
    <xf numFmtId="168" fontId="79" fillId="7" borderId="14" xfId="416">
      <alignment horizontal="center" vertical="center" wrapText="1"/>
      <protection locked="0"/>
    </xf>
    <xf numFmtId="4" fontId="24" fillId="0" borderId="14" xfId="418">
      <alignment horizontal="center" vertical="center" wrapText="1"/>
    </xf>
    <xf numFmtId="49" fontId="79" fillId="7" borderId="14" xfId="419">
      <alignment horizontal="center" vertical="center" wrapText="1"/>
      <protection locked="0"/>
    </xf>
    <xf numFmtId="49" fontId="37" fillId="10" borderId="12" xfId="421">
      <alignment horizontal="left" vertical="center"/>
    </xf>
    <xf numFmtId="49" fontId="28" fillId="10" borderId="16" xfId="422">
      <alignment horizontal="left" vertical="center" indent="6"/>
    </xf>
    <xf numFmtId="49" fontId="8" fillId="10" borderId="11" xfId="423">
      <alignment horizontal="center" vertical="center" wrapText="1"/>
    </xf>
    <xf numFmtId="49" fontId="28" fillId="10" borderId="16" xfId="425">
      <alignment horizontal="left" vertical="center" indent="5"/>
    </xf>
    <xf numFmtId="49" fontId="79" fillId="10" borderId="16" xfId="426">
      <alignment horizontal="center" vertical="center" wrapText="1"/>
    </xf>
    <xf numFmtId="49" fontId="79" fillId="10" borderId="11" xfId="427">
      <alignment horizontal="center" vertical="center" wrapText="1"/>
    </xf>
    <xf numFmtId="49" fontId="28" fillId="10" borderId="16" xfId="428">
      <alignment horizontal="left" vertical="center" indent="4"/>
    </xf>
    <xf numFmtId="49" fontId="46" fillId="0" borderId="17" xfId="429">
      <alignment horizontal="left" vertical="center"/>
    </xf>
    <xf numFmtId="49" fontId="24" fillId="0" borderId="17" xfId="430">
      <alignment horizontal="left" vertical="center" indent="3"/>
    </xf>
    <xf numFmtId="49" fontId="24" fillId="0" borderId="17" xfId="431">
      <alignment horizontal="center" vertical="center" wrapText="1"/>
    </xf>
    <xf numFmtId="49" fontId="24" fillId="0" borderId="0" xfId="432">
      <alignment horizontal="left" vertical="center" indent="2"/>
    </xf>
    <xf numFmtId="49" fontId="24" fillId="0" borderId="0" xfId="433">
      <alignment horizontal="left" vertical="center" indent="1"/>
    </xf>
    <xf numFmtId="4" fontId="18" fillId="0" borderId="14" xfId="434">
      <alignment horizontal="right" vertical="center" wrapText="1"/>
    </xf>
    <xf numFmtId="170" fontId="18" fillId="0" borderId="14" xfId="435">
      <alignment horizontal="right" vertical="center" wrapText="1"/>
    </xf>
    <xf numFmtId="49" fontId="18" fillId="0" borderId="14" xfId="438">
      <alignment vertical="center" wrapText="1"/>
    </xf>
    <xf numFmtId="0" fontId="47" fillId="8" borderId="0" xfId="439">
      <alignment vertical="center" wrapText="1"/>
    </xf>
    <xf numFmtId="0" fontId="8" fillId="8" borderId="0" xfId="440">
      <alignment horizontal="left" vertical="center" wrapText="1"/>
    </xf>
    <xf numFmtId="0" fontId="12" fillId="8" borderId="0" xfId="441">
      <alignment horizontal="center" vertical="center" wrapText="1"/>
    </xf>
    <xf numFmtId="0" fontId="79" fillId="8" borderId="14" xfId="442">
      <alignment horizontal="right" vertical="center" wrapText="1" indent="1"/>
    </xf>
    <xf numFmtId="0" fontId="79" fillId="0" borderId="16" xfId="443">
      <alignment vertical="center"/>
    </xf>
    <xf numFmtId="0" fontId="8" fillId="6" borderId="14" xfId="444">
      <alignment horizontal="left" vertical="center" wrapText="1" indent="1"/>
    </xf>
    <xf numFmtId="0" fontId="8" fillId="8" borderId="36" xfId="446">
      <alignment vertical="center" wrapText="1"/>
    </xf>
    <xf numFmtId="0" fontId="30" fillId="0" borderId="36" xfId="447">
      <alignment horizontal="center" vertical="center" wrapText="1"/>
    </xf>
    <xf numFmtId="0" fontId="8" fillId="0" borderId="23" xfId="448">
      <alignment vertical="center" wrapText="1"/>
    </xf>
    <xf numFmtId="0" fontId="8" fillId="8" borderId="23" xfId="452">
      <alignment horizontal="center" vertical="center" wrapText="1"/>
    </xf>
    <xf numFmtId="0" fontId="8" fillId="0" borderId="33" xfId="454">
      <alignment vertical="center" wrapText="1"/>
    </xf>
    <xf numFmtId="0" fontId="8" fillId="0" borderId="21" xfId="458">
      <alignment vertical="center" wrapText="1"/>
    </xf>
    <xf numFmtId="0" fontId="18" fillId="0" borderId="21" xfId="459">
      <alignment horizontal="center" vertical="center" wrapText="1"/>
    </xf>
    <xf numFmtId="0" fontId="8" fillId="8" borderId="21" xfId="460">
      <alignment horizontal="center" vertical="center" wrapText="1"/>
    </xf>
    <xf numFmtId="0" fontId="48" fillId="8" borderId="0" xfId="462">
      <alignment vertical="center" wrapText="1"/>
    </xf>
    <xf numFmtId="0" fontId="49" fillId="8" borderId="0" xfId="463">
      <alignment vertical="center" wrapText="1"/>
    </xf>
    <xf numFmtId="49" fontId="45" fillId="8" borderId="17" xfId="464">
      <alignment horizontal="left" vertical="center" wrapText="1"/>
    </xf>
    <xf numFmtId="49" fontId="45" fillId="8" borderId="17" xfId="465">
      <alignment horizontal="center" vertical="center" wrapText="1"/>
    </xf>
    <xf numFmtId="0" fontId="24" fillId="8" borderId="17" xfId="466">
      <alignment horizontal="center" vertical="center" wrapText="1"/>
    </xf>
    <xf numFmtId="0" fontId="45" fillId="8" borderId="17" xfId="467">
      <alignment horizontal="center" vertical="center" wrapText="1"/>
    </xf>
    <xf numFmtId="0" fontId="18" fillId="0" borderId="0" xfId="468">
      <alignment horizontal="left" vertical="center" indent="1"/>
    </xf>
    <xf numFmtId="4" fontId="8" fillId="0" borderId="23" xfId="470">
      <alignment horizontal="right" vertical="center" wrapText="1"/>
    </xf>
    <xf numFmtId="4" fontId="8" fillId="0" borderId="21" xfId="472">
      <alignment horizontal="right" vertical="center" wrapText="1"/>
    </xf>
    <xf numFmtId="49" fontId="8" fillId="0" borderId="0" xfId="473">
      <alignment vertical="center" wrapText="1"/>
    </xf>
    <xf numFmtId="0" fontId="47" fillId="0" borderId="0" xfId="474">
      <alignment vertical="center" wrapText="1"/>
    </xf>
    <xf numFmtId="0" fontId="8" fillId="0" borderId="0" xfId="477">
      <alignment horizontal="center" vertical="center"/>
    </xf>
    <xf numFmtId="49" fontId="8" fillId="0" borderId="14" xfId="478">
      <alignment vertical="center" wrapText="1"/>
    </xf>
    <xf numFmtId="0" fontId="35" fillId="0" borderId="0" xfId="479">
      <alignment horizontal="left" vertical="center" indent="1"/>
    </xf>
    <xf numFmtId="170" fontId="8" fillId="0" borderId="14" xfId="480">
      <alignment horizontal="right" vertical="center" wrapText="1"/>
    </xf>
    <xf numFmtId="0" fontId="24" fillId="0" borderId="23" xfId="482">
      <alignment horizontal="center" vertical="center" wrapText="1"/>
    </xf>
    <xf numFmtId="0" fontId="24" fillId="0" borderId="14" xfId="483">
      <alignment horizontal="left" vertical="center" wrapText="1" indent="4"/>
    </xf>
    <xf numFmtId="0" fontId="24" fillId="0" borderId="14" xfId="484">
      <alignment horizontal="left" vertical="center" wrapText="1" indent="6"/>
    </xf>
    <xf numFmtId="0" fontId="24" fillId="0" borderId="16" xfId="486">
      <alignment horizontal="left" vertical="center" wrapText="1"/>
    </xf>
    <xf numFmtId="0" fontId="24" fillId="0" borderId="14" xfId="488">
      <alignment vertical="top" wrapText="1"/>
    </xf>
    <xf numFmtId="49" fontId="46" fillId="0" borderId="12" xfId="489">
      <alignment horizontal="left" vertical="center"/>
    </xf>
    <xf numFmtId="49" fontId="24" fillId="0" borderId="16" xfId="490">
      <alignment horizontal="left" vertical="center" indent="4"/>
    </xf>
    <xf numFmtId="49" fontId="24" fillId="0" borderId="16" xfId="491">
      <alignment horizontal="center" vertical="center" wrapText="1"/>
    </xf>
    <xf numFmtId="49" fontId="24" fillId="0" borderId="11" xfId="492">
      <alignment horizontal="center" vertical="center" wrapText="1"/>
    </xf>
    <xf numFmtId="0" fontId="24" fillId="0" borderId="0" xfId="493">
      <alignment horizontal="center" vertical="center"/>
    </xf>
    <xf numFmtId="0" fontId="8" fillId="8" borderId="23" xfId="494">
      <alignment horizontal="left" vertical="center" wrapText="1"/>
    </xf>
    <xf numFmtId="0" fontId="8" fillId="8" borderId="23" xfId="495">
      <alignment horizontal="left" vertical="center" wrapText="1" indent="2"/>
    </xf>
    <xf numFmtId="0" fontId="8" fillId="0" borderId="23" xfId="496">
      <alignment horizontal="left" vertical="center" wrapText="1" indent="6"/>
    </xf>
    <xf numFmtId="0" fontId="8" fillId="6" borderId="14" xfId="500">
      <alignment horizontal="left" vertical="center" wrapText="1"/>
    </xf>
    <xf numFmtId="0" fontId="29" fillId="0" borderId="11" xfId="501">
      <alignment vertical="top" wrapText="1"/>
    </xf>
    <xf numFmtId="0" fontId="24" fillId="0" borderId="11" xfId="502">
      <alignment vertical="top" wrapText="1"/>
    </xf>
    <xf numFmtId="0" fontId="8" fillId="9" borderId="14" xfId="503">
      <alignment horizontal="left" vertical="center" wrapText="1"/>
    </xf>
    <xf numFmtId="0" fontId="8" fillId="8" borderId="21" xfId="504">
      <alignment horizontal="left" vertical="center" wrapText="1"/>
    </xf>
    <xf numFmtId="0" fontId="8" fillId="9" borderId="21" xfId="505">
      <alignment horizontal="left" vertical="center" wrapText="1" indent="6"/>
    </xf>
    <xf numFmtId="0" fontId="8" fillId="0" borderId="21" xfId="506">
      <alignment horizontal="left" vertical="center" wrapText="1" indent="6"/>
    </xf>
    <xf numFmtId="4" fontId="8" fillId="4" borderId="21" xfId="507">
      <alignment horizontal="right" vertical="center" wrapText="1"/>
      <protection locked="0"/>
    </xf>
    <xf numFmtId="170" fontId="8" fillId="4" borderId="21" xfId="508">
      <alignment horizontal="right" vertical="center" wrapText="1"/>
      <protection locked="0"/>
    </xf>
    <xf numFmtId="170" fontId="8" fillId="4" borderId="12" xfId="511">
      <alignment horizontal="right" vertical="center" wrapText="1"/>
      <protection locked="0"/>
    </xf>
    <xf numFmtId="4" fontId="8" fillId="4" borderId="11" xfId="512">
      <alignment horizontal="right" vertical="center" wrapText="1"/>
      <protection locked="0"/>
    </xf>
    <xf numFmtId="0" fontId="29" fillId="0" borderId="23" xfId="513">
      <alignment vertical="top" wrapText="1"/>
    </xf>
    <xf numFmtId="0" fontId="8" fillId="4" borderId="14" xfId="514">
      <alignment horizontal="left" vertical="center" wrapText="1" indent="7"/>
      <protection locked="0"/>
    </xf>
    <xf numFmtId="4" fontId="24" fillId="0" borderId="12" xfId="515">
      <alignment horizontal="center" vertical="center" wrapText="1"/>
    </xf>
    <xf numFmtId="4" fontId="8" fillId="0" borderId="11" xfId="516">
      <alignment horizontal="right" vertical="center" wrapText="1"/>
    </xf>
    <xf numFmtId="0" fontId="8" fillId="10" borderId="16" xfId="517">
      <alignment horizontal="left" vertical="center" wrapText="1" indent="6"/>
    </xf>
    <xf numFmtId="4" fontId="8" fillId="10" borderId="16" xfId="518">
      <alignment horizontal="right" vertical="center" wrapText="1"/>
    </xf>
    <xf numFmtId="4" fontId="24" fillId="10" borderId="16" xfId="519">
      <alignment horizontal="center" vertical="center" wrapText="1"/>
    </xf>
    <xf numFmtId="4" fontId="8" fillId="10" borderId="11" xfId="520">
      <alignment horizontal="right" vertical="center" wrapText="1"/>
    </xf>
    <xf numFmtId="49" fontId="8" fillId="10" borderId="36" xfId="521">
      <alignment horizontal="center" vertical="center" wrapText="1"/>
    </xf>
    <xf numFmtId="0" fontId="79" fillId="0" borderId="33" xfId="524">
      <alignment horizontal="center" vertical="center" wrapText="1"/>
    </xf>
    <xf numFmtId="0" fontId="35" fillId="0" borderId="0" xfId="525">
      <alignment horizontal="center" vertical="center"/>
    </xf>
    <xf numFmtId="0" fontId="25" fillId="8" borderId="0" xfId="526">
      <alignment horizontal="center" vertical="center" wrapText="1"/>
    </xf>
    <xf numFmtId="0" fontId="24" fillId="0" borderId="14" xfId="527">
      <alignment horizontal="left" vertical="center" wrapText="1" indent="5"/>
    </xf>
    <xf numFmtId="0" fontId="24" fillId="0" borderId="20" xfId="528">
      <alignment horizontal="center" vertical="top" wrapText="1"/>
    </xf>
    <xf numFmtId="49" fontId="8" fillId="7" borderId="23" xfId="529">
      <alignment horizontal="left" vertical="center" wrapText="1" indent="6"/>
      <protection locked="0"/>
    </xf>
    <xf numFmtId="0" fontId="8" fillId="0" borderId="14" xfId="531">
      <alignment horizontal="left" vertical="center" wrapText="1" indent="4"/>
    </xf>
    <xf numFmtId="170" fontId="8" fillId="10" borderId="11" xfId="534">
      <alignment horizontal="right" vertical="center" wrapText="1"/>
    </xf>
    <xf numFmtId="49" fontId="28" fillId="10" borderId="12" xfId="535">
      <alignment horizontal="left" vertical="center"/>
    </xf>
    <xf numFmtId="170" fontId="8" fillId="10" borderId="16" xfId="536">
      <alignment horizontal="right" vertical="center" wrapText="1"/>
    </xf>
    <xf numFmtId="4" fontId="8" fillId="0" borderId="33" xfId="537">
      <alignment horizontal="right" vertical="center" wrapText="1"/>
    </xf>
    <xf numFmtId="49" fontId="28" fillId="10" borderId="12" xfId="538">
      <alignment horizontal="left" vertical="center" indent="1"/>
    </xf>
    <xf numFmtId="4" fontId="24" fillId="10" borderId="11" xfId="540">
      <alignment horizontal="center" vertical="center" wrapText="1"/>
    </xf>
    <xf numFmtId="49" fontId="28" fillId="10" borderId="12" xfId="541">
      <alignment vertical="center" wrapText="1"/>
    </xf>
    <xf numFmtId="49" fontId="28" fillId="10" borderId="16" xfId="542">
      <alignment vertical="center" wrapText="1"/>
    </xf>
    <xf numFmtId="49" fontId="24" fillId="0" borderId="20" xfId="543">
      <alignment vertical="top"/>
    </xf>
    <xf numFmtId="49" fontId="24" fillId="0" borderId="0" xfId="544">
      <alignment horizontal="center" vertical="center" wrapText="1"/>
    </xf>
    <xf numFmtId="0" fontId="24" fillId="0" borderId="20" xfId="545">
      <alignment horizontal="left" vertical="center" wrapText="1" indent="1"/>
    </xf>
    <xf numFmtId="4" fontId="24" fillId="0" borderId="14" xfId="546">
      <alignment horizontal="right" vertical="center" wrapText="1"/>
    </xf>
    <xf numFmtId="170" fontId="24" fillId="0" borderId="14" xfId="547">
      <alignment horizontal="right" vertical="center" wrapText="1"/>
    </xf>
    <xf numFmtId="168" fontId="24" fillId="0" borderId="14" xfId="548">
      <alignment horizontal="center" vertical="center" wrapText="1"/>
    </xf>
    <xf numFmtId="49" fontId="24" fillId="0" borderId="14" xfId="549">
      <alignment horizontal="center" vertical="center" wrapText="1"/>
    </xf>
    <xf numFmtId="0" fontId="18" fillId="0" borderId="0" xfId="550">
      <alignment horizontal="left" vertical="center"/>
    </xf>
    <xf numFmtId="0" fontId="50" fillId="8" borderId="0" xfId="551">
      <alignment vertical="center" wrapText="1"/>
    </xf>
    <xf numFmtId="0" fontId="79" fillId="8" borderId="24" xfId="553">
      <alignment horizontal="center" vertical="center" wrapText="1"/>
    </xf>
    <xf numFmtId="0" fontId="8" fillId="7" borderId="14" xfId="560">
      <alignment horizontal="center" vertical="center" wrapText="1"/>
      <protection locked="0"/>
    </xf>
    <xf numFmtId="0" fontId="8" fillId="0" borderId="14" xfId="565">
      <alignment horizontal="left" vertical="center" wrapText="1" indent="1"/>
    </xf>
    <xf numFmtId="49" fontId="8" fillId="10" borderId="12" xfId="566">
      <alignment horizontal="center" vertical="center" wrapText="1"/>
    </xf>
    <xf numFmtId="49" fontId="35" fillId="0" borderId="20" xfId="567">
      <alignment vertical="top"/>
    </xf>
    <xf numFmtId="0" fontId="50" fillId="0" borderId="0" xfId="568">
      <alignment vertical="center" wrapText="1"/>
    </xf>
    <xf numFmtId="49" fontId="8" fillId="4" borderId="12" xfId="572">
      <alignment horizontal="left" vertical="center" wrapText="1"/>
      <protection locked="0"/>
    </xf>
    <xf numFmtId="49" fontId="8" fillId="4" borderId="14" xfId="575">
      <alignment horizontal="left" vertical="center" wrapText="1" indent="6"/>
      <protection locked="0"/>
    </xf>
    <xf numFmtId="4" fontId="8" fillId="0" borderId="24" xfId="576">
      <alignment horizontal="right" vertical="center" wrapText="1"/>
    </xf>
    <xf numFmtId="4" fontId="8" fillId="0" borderId="26" xfId="578">
      <alignment horizontal="right" vertical="center" wrapText="1"/>
    </xf>
    <xf numFmtId="49" fontId="79" fillId="10" borderId="25" xfId="579">
      <alignment horizontal="center" vertical="center" wrapText="1"/>
    </xf>
    <xf numFmtId="49" fontId="28" fillId="10" borderId="16" xfId="580">
      <alignment horizontal="left" vertical="center" indent="3"/>
    </xf>
    <xf numFmtId="49" fontId="8" fillId="4" borderId="23" xfId="581">
      <alignment horizontal="left" vertical="center" wrapText="1" indent="6"/>
      <protection locked="0"/>
    </xf>
    <xf numFmtId="4" fontId="8" fillId="7" borderId="14" xfId="582">
      <alignment horizontal="left" vertical="center" wrapText="1" indent="1"/>
      <protection locked="0"/>
    </xf>
    <xf numFmtId="0" fontId="8" fillId="0" borderId="0" xfId="583">
      <alignment horizontal="left" vertical="center"/>
    </xf>
    <xf numFmtId="0" fontId="8" fillId="8" borderId="25" xfId="585">
      <alignment horizontal="center" vertical="center" wrapText="1"/>
    </xf>
    <xf numFmtId="0" fontId="51" fillId="8" borderId="0" xfId="586">
      <alignment horizontal="center" vertical="center" wrapText="1"/>
    </xf>
    <xf numFmtId="0" fontId="24" fillId="8" borderId="14" xfId="587">
      <alignment horizontal="left" vertical="center" wrapText="1" indent="3"/>
    </xf>
    <xf numFmtId="49" fontId="28" fillId="10" borderId="36" xfId="592">
      <alignment horizontal="left" vertical="center"/>
    </xf>
    <xf numFmtId="0" fontId="8" fillId="0" borderId="37" xfId="595">
      <alignment horizontal="center" vertical="center" wrapText="1"/>
    </xf>
    <xf numFmtId="0" fontId="8" fillId="7" borderId="14" xfId="596">
      <alignment horizontal="left" vertical="center" wrapText="1" indent="2"/>
      <protection locked="0"/>
    </xf>
    <xf numFmtId="0" fontId="24" fillId="0" borderId="37" xfId="597">
      <alignment horizontal="center" vertical="center" wrapText="1"/>
    </xf>
    <xf numFmtId="0" fontId="24" fillId="0" borderId="14" xfId="598">
      <alignment horizontal="left" vertical="center" wrapText="1" indent="2"/>
    </xf>
    <xf numFmtId="0" fontId="8" fillId="0" borderId="14" xfId="599">
      <alignment horizontal="left" vertical="center" wrapText="1" indent="3"/>
    </xf>
    <xf numFmtId="49" fontId="8" fillId="7" borderId="14" xfId="600">
      <alignment horizontal="center" vertical="center" wrapText="1"/>
      <protection locked="0"/>
    </xf>
    <xf numFmtId="0" fontId="8" fillId="4" borderId="14" xfId="601">
      <alignment horizontal="left" vertical="center" wrapText="1"/>
      <protection locked="0"/>
    </xf>
    <xf numFmtId="0" fontId="8" fillId="0" borderId="11" xfId="602">
      <alignment vertical="top" wrapText="1"/>
    </xf>
    <xf numFmtId="171" fontId="8" fillId="4" borderId="14" xfId="603">
      <alignment horizontal="right" vertical="center" wrapText="1"/>
      <protection locked="0"/>
    </xf>
    <xf numFmtId="0" fontId="8" fillId="0" borderId="18" xfId="604">
      <alignment vertical="center" wrapText="1"/>
    </xf>
    <xf numFmtId="0" fontId="46" fillId="8" borderId="0" xfId="605">
      <alignment horizontal="right" vertical="center"/>
    </xf>
    <xf numFmtId="0" fontId="8" fillId="0" borderId="12" xfId="606">
      <alignment vertical="center" wrapText="1"/>
    </xf>
    <xf numFmtId="0" fontId="8" fillId="0" borderId="16" xfId="607">
      <alignment horizontal="right" vertical="center" wrapText="1" indent="1"/>
    </xf>
    <xf numFmtId="0" fontId="8" fillId="0" borderId="11" xfId="608">
      <alignment horizontal="right" vertical="center" wrapText="1" indent="1"/>
    </xf>
    <xf numFmtId="0" fontId="8" fillId="6" borderId="12" xfId="609">
      <alignment horizontal="left" vertical="top" wrapText="1"/>
    </xf>
    <xf numFmtId="4" fontId="8" fillId="7" borderId="14" xfId="612">
      <alignment horizontal="right" vertical="center" wrapText="1"/>
      <protection locked="0"/>
    </xf>
    <xf numFmtId="4" fontId="8" fillId="6" borderId="14" xfId="613">
      <alignment horizontal="right" vertical="center" wrapText="1"/>
    </xf>
    <xf numFmtId="49" fontId="35" fillId="0" borderId="37" xfId="616">
      <alignment horizontal="center" vertical="center" wrapText="1"/>
    </xf>
    <xf numFmtId="0" fontId="35" fillId="0" borderId="14" xfId="617">
      <alignment horizontal="left" vertical="center" wrapText="1" indent="2"/>
    </xf>
    <xf numFmtId="0" fontId="35" fillId="0" borderId="14" xfId="618">
      <alignment horizontal="center" vertical="center" wrapText="1"/>
    </xf>
    <xf numFmtId="0" fontId="35" fillId="0" borderId="14" xfId="619">
      <alignment vertical="center" wrapText="1"/>
    </xf>
    <xf numFmtId="0" fontId="35" fillId="0" borderId="37" xfId="620">
      <alignment horizontal="center" vertical="center" wrapText="1"/>
    </xf>
    <xf numFmtId="0" fontId="35" fillId="0" borderId="14" xfId="621">
      <alignment horizontal="left" vertical="center" wrapText="1" indent="3"/>
    </xf>
    <xf numFmtId="4" fontId="35" fillId="0" borderId="14" xfId="622">
      <alignment horizontal="right" vertical="center" wrapText="1"/>
    </xf>
    <xf numFmtId="49" fontId="8" fillId="10" borderId="12" xfId="623">
      <alignment vertical="center" wrapText="1"/>
    </xf>
    <xf numFmtId="0" fontId="8" fillId="10" borderId="16" xfId="624">
      <alignment vertical="center" wrapText="1"/>
    </xf>
    <xf numFmtId="0" fontId="18" fillId="10" borderId="11" xfId="625">
      <alignment vertical="center" wrapText="1"/>
    </xf>
    <xf numFmtId="0" fontId="8" fillId="0" borderId="14" xfId="626">
      <alignment horizontal="left" vertical="center" wrapText="1" indent="2"/>
    </xf>
    <xf numFmtId="49" fontId="14" fillId="3" borderId="0" xfId="627">
      <alignment horizontal="center" vertical="center" wrapText="1"/>
    </xf>
    <xf numFmtId="171" fontId="8" fillId="7" borderId="14" xfId="628">
      <alignment horizontal="right" vertical="center" wrapText="1"/>
      <protection locked="0"/>
    </xf>
    <xf numFmtId="0" fontId="18" fillId="0" borderId="0" xfId="629">
      <alignment horizontal="left" vertical="center" wrapText="1"/>
    </xf>
    <xf numFmtId="4" fontId="8" fillId="6" borderId="23" xfId="630">
      <alignment horizontal="right" vertical="center" wrapText="1"/>
    </xf>
    <xf numFmtId="0" fontId="24" fillId="0" borderId="14" xfId="631">
      <alignment horizontal="left" vertical="center" wrapText="1" indent="3"/>
    </xf>
    <xf numFmtId="49" fontId="24" fillId="0" borderId="14" xfId="632">
      <alignment vertical="center" wrapText="1"/>
    </xf>
    <xf numFmtId="0" fontId="24" fillId="0" borderId="23" xfId="633">
      <alignment vertical="top" wrapText="1"/>
    </xf>
    <xf numFmtId="0" fontId="8" fillId="0" borderId="12" xfId="634">
      <alignment horizontal="left" vertical="center" wrapText="1" indent="2"/>
    </xf>
    <xf numFmtId="4" fontId="8" fillId="7" borderId="11" xfId="635">
      <alignment horizontal="right" vertical="center" wrapText="1"/>
      <protection locked="0"/>
    </xf>
    <xf numFmtId="0" fontId="8" fillId="0" borderId="12" xfId="636">
      <alignment horizontal="left" vertical="center" wrapText="1" indent="1"/>
    </xf>
    <xf numFmtId="49" fontId="17" fillId="4" borderId="11" xfId="637">
      <alignment horizontal="left" vertical="center" wrapText="1"/>
      <protection locked="0"/>
    </xf>
    <xf numFmtId="49" fontId="17" fillId="4" borderId="14" xfId="638">
      <alignment horizontal="left" vertical="center" wrapText="1"/>
      <protection locked="0"/>
    </xf>
    <xf numFmtId="171" fontId="8" fillId="7" borderId="11" xfId="639">
      <alignment horizontal="right" vertical="center" wrapText="1"/>
      <protection locked="0"/>
    </xf>
    <xf numFmtId="171" fontId="8" fillId="6" borderId="11" xfId="640">
      <alignment horizontal="right" vertical="center" wrapText="1"/>
    </xf>
    <xf numFmtId="171" fontId="8" fillId="6" borderId="14" xfId="641">
      <alignment horizontal="right" vertical="center" wrapText="1"/>
    </xf>
    <xf numFmtId="4" fontId="8" fillId="7" borderId="25" xfId="642">
      <alignment horizontal="right" vertical="center" wrapText="1"/>
      <protection locked="0"/>
    </xf>
    <xf numFmtId="4" fontId="8" fillId="7" borderId="21" xfId="643">
      <alignment horizontal="right" vertical="center" wrapText="1"/>
      <protection locked="0"/>
    </xf>
    <xf numFmtId="0" fontId="24" fillId="0" borderId="33" xfId="644">
      <alignment horizontal="left" vertical="center" wrapText="1" indent="1"/>
    </xf>
    <xf numFmtId="0" fontId="24" fillId="0" borderId="33" xfId="645">
      <alignment horizontal="center" vertical="center" wrapText="1"/>
    </xf>
    <xf numFmtId="0" fontId="24" fillId="0" borderId="23" xfId="646">
      <alignment vertical="center" wrapText="1"/>
    </xf>
    <xf numFmtId="49" fontId="8" fillId="10" borderId="24" xfId="647">
      <alignment vertical="center" wrapText="1"/>
    </xf>
    <xf numFmtId="49" fontId="28" fillId="10" borderId="17" xfId="648">
      <alignment horizontal="left" vertical="center" indent="1"/>
    </xf>
    <xf numFmtId="0" fontId="8" fillId="0" borderId="21" xfId="649">
      <alignment vertical="top" wrapText="1"/>
    </xf>
    <xf numFmtId="171" fontId="8" fillId="7" borderId="23" xfId="650">
      <alignment horizontal="right" vertical="center" wrapText="1"/>
      <protection locked="0"/>
    </xf>
    <xf numFmtId="0" fontId="24" fillId="0" borderId="21" xfId="651">
      <alignment horizontal="left" vertical="center" wrapText="1" indent="1"/>
    </xf>
    <xf numFmtId="0" fontId="24" fillId="0" borderId="23" xfId="652">
      <alignment horizontal="left" vertical="center" wrapText="1" indent="1"/>
    </xf>
    <xf numFmtId="49" fontId="14" fillId="0" borderId="0" xfId="653">
      <alignment horizontal="center" vertical="center" wrapText="1"/>
    </xf>
    <xf numFmtId="0" fontId="52" fillId="0" borderId="0" xfId="654">
      <alignment vertical="center" wrapText="1"/>
    </xf>
    <xf numFmtId="0" fontId="8" fillId="0" borderId="17" xfId="655">
      <alignment vertical="center" wrapText="1"/>
    </xf>
    <xf numFmtId="0" fontId="8" fillId="0" borderId="36" xfId="656">
      <alignment vertical="center" wrapText="1"/>
    </xf>
    <xf numFmtId="0" fontId="53" fillId="8" borderId="0" xfId="657">
      <alignment horizontal="right" vertical="center"/>
    </xf>
    <xf numFmtId="0" fontId="79" fillId="0" borderId="0" xfId="658">
      <alignment vertical="top"/>
    </xf>
    <xf numFmtId="0" fontId="8" fillId="0" borderId="11" xfId="663">
      <alignment horizontal="left" vertical="center" wrapText="1" indent="1"/>
    </xf>
    <xf numFmtId="49" fontId="24" fillId="0" borderId="19" xfId="664">
      <alignment vertical="top"/>
    </xf>
    <xf numFmtId="0" fontId="54" fillId="0" borderId="0" xfId="665">
      <alignment vertical="top"/>
    </xf>
    <xf numFmtId="0" fontId="55" fillId="0" borderId="0" xfId="666">
      <alignment vertical="top"/>
    </xf>
    <xf numFmtId="0" fontId="8" fillId="0" borderId="21" xfId="668">
      <alignment horizontal="left" vertical="center" wrapText="1"/>
    </xf>
    <xf numFmtId="2" fontId="8" fillId="0" borderId="21" xfId="669">
      <alignment horizontal="center" vertical="center" wrapText="1"/>
    </xf>
    <xf numFmtId="0" fontId="24" fillId="0" borderId="19" xfId="670">
      <alignment vertical="center" wrapText="1"/>
    </xf>
    <xf numFmtId="49" fontId="28" fillId="0" borderId="17" xfId="672">
      <alignment horizontal="right" vertical="center"/>
    </xf>
    <xf numFmtId="49" fontId="9" fillId="0" borderId="0" xfId="673">
      <alignment horizontal="center" vertical="center" wrapText="1"/>
    </xf>
    <xf numFmtId="0" fontId="18" fillId="12" borderId="14" xfId="674">
      <alignment horizontal="left" vertical="center" wrapText="1"/>
    </xf>
    <xf numFmtId="0" fontId="8" fillId="13" borderId="14" xfId="675">
      <alignment vertical="center"/>
    </xf>
    <xf numFmtId="49" fontId="79" fillId="14" borderId="14" xfId="676">
      <alignment horizontal="center" vertical="center" wrapText="1"/>
    </xf>
    <xf numFmtId="49" fontId="56" fillId="0" borderId="23" xfId="677">
      <alignment horizontal="center" vertical="center" wrapText="1"/>
    </xf>
    <xf numFmtId="49" fontId="56" fillId="0" borderId="14" xfId="678">
      <alignment horizontal="center" vertical="center" wrapText="1"/>
    </xf>
    <xf numFmtId="0" fontId="24" fillId="0" borderId="12" xfId="679">
      <alignment vertical="center" wrapText="1"/>
    </xf>
    <xf numFmtId="0" fontId="8" fillId="0" borderId="17" xfId="680">
      <alignment horizontal="right" vertical="center" wrapText="1" indent="1"/>
    </xf>
    <xf numFmtId="49" fontId="8" fillId="0" borderId="37" xfId="681">
      <alignment horizontal="center" vertical="center" wrapText="1"/>
    </xf>
    <xf numFmtId="49" fontId="17" fillId="4" borderId="12" xfId="682">
      <alignment horizontal="left" vertical="center" wrapText="1"/>
      <protection locked="0"/>
    </xf>
    <xf numFmtId="0" fontId="57" fillId="0" borderId="0" xfId="683">
      <alignment vertical="center" wrapText="1"/>
    </xf>
    <xf numFmtId="49" fontId="8" fillId="0" borderId="38" xfId="684">
      <alignment horizontal="center" vertical="center" wrapText="1"/>
    </xf>
    <xf numFmtId="4" fontId="8" fillId="7" borderId="24" xfId="685">
      <alignment horizontal="right" vertical="center" wrapText="1"/>
      <protection locked="0"/>
    </xf>
    <xf numFmtId="4" fontId="8" fillId="7" borderId="23" xfId="686">
      <alignment horizontal="right" vertical="center" wrapText="1"/>
      <protection locked="0"/>
    </xf>
    <xf numFmtId="0" fontId="18" fillId="10" borderId="16" xfId="687">
      <alignment vertical="center" wrapText="1"/>
    </xf>
    <xf numFmtId="49" fontId="8" fillId="0" borderId="39" xfId="688">
      <alignment horizontal="center" vertical="center" wrapText="1"/>
    </xf>
    <xf numFmtId="4" fontId="8" fillId="7" borderId="12" xfId="689">
      <alignment horizontal="right" vertical="center" wrapText="1"/>
      <protection locked="0"/>
    </xf>
    <xf numFmtId="49" fontId="8" fillId="0" borderId="40" xfId="690">
      <alignment horizontal="center" vertical="center" wrapText="1"/>
    </xf>
    <xf numFmtId="3" fontId="8" fillId="7" borderId="12" xfId="691">
      <alignment horizontal="right" vertical="center" wrapText="1"/>
      <protection locked="0"/>
    </xf>
    <xf numFmtId="49" fontId="17" fillId="7" borderId="12" xfId="692">
      <alignment horizontal="left" vertical="center" wrapText="1"/>
      <protection locked="0"/>
    </xf>
    <xf numFmtId="49" fontId="58" fillId="0" borderId="0" xfId="693">
      <alignment horizontal="center" vertical="center" wrapText="1"/>
    </xf>
    <xf numFmtId="0" fontId="8" fillId="0" borderId="14" xfId="694">
      <alignment vertical="top" wrapText="1"/>
    </xf>
    <xf numFmtId="0" fontId="8" fillId="8" borderId="0" xfId="695">
      <alignment horizontal="right" vertical="center" wrapText="1"/>
    </xf>
    <xf numFmtId="0" fontId="8" fillId="8" borderId="0" xfId="696">
      <alignment horizontal="right" vertical="center"/>
    </xf>
    <xf numFmtId="0" fontId="8" fillId="8" borderId="12" xfId="697">
      <alignment horizontal="center" vertical="center" wrapText="1"/>
    </xf>
    <xf numFmtId="0" fontId="8" fillId="8" borderId="14" xfId="700">
      <alignment horizontal="center" vertical="center"/>
    </xf>
    <xf numFmtId="0" fontId="79" fillId="0" borderId="14" xfId="701">
      <alignment horizontal="left" vertical="top" wrapText="1"/>
    </xf>
    <xf numFmtId="0" fontId="79" fillId="0" borderId="14" xfId="702">
      <alignment horizontal="left" vertical="center" wrapText="1"/>
    </xf>
    <xf numFmtId="0" fontId="8" fillId="10" borderId="12" xfId="703">
      <alignment vertical="center" wrapText="1"/>
    </xf>
    <xf numFmtId="49" fontId="59" fillId="10" borderId="11" xfId="704">
      <alignment horizontal="center" vertical="top"/>
    </xf>
    <xf numFmtId="49" fontId="28" fillId="0" borderId="17" xfId="705">
      <alignment horizontal="left" vertical="center"/>
    </xf>
    <xf numFmtId="49" fontId="28" fillId="0" borderId="17" xfId="706">
      <alignment horizontal="left" vertical="center" indent="2"/>
    </xf>
    <xf numFmtId="49" fontId="59" fillId="0" borderId="17" xfId="707">
      <alignment horizontal="center" vertical="top"/>
    </xf>
    <xf numFmtId="0" fontId="24" fillId="0" borderId="12" xfId="710">
      <alignment horizontal="left" vertical="top" wrapText="1"/>
    </xf>
    <xf numFmtId="49" fontId="28" fillId="10" borderId="17" xfId="711">
      <alignment horizontal="left" vertical="center" indent="2"/>
    </xf>
    <xf numFmtId="49" fontId="79" fillId="0" borderId="14" xfId="712">
      <alignment horizontal="left" vertical="center" wrapText="1" indent="2"/>
    </xf>
    <xf numFmtId="49" fontId="79" fillId="0" borderId="14" xfId="713">
      <alignment vertical="center" wrapText="1"/>
    </xf>
    <xf numFmtId="0" fontId="8" fillId="0" borderId="0" xfId="714">
      <alignment horizontal="right" vertical="top" wrapText="1"/>
    </xf>
    <xf numFmtId="0" fontId="8" fillId="0" borderId="0" xfId="715">
      <alignment horizontal="left" vertical="top" wrapText="1"/>
    </xf>
    <xf numFmtId="0" fontId="24" fillId="0" borderId="36" xfId="716">
      <alignment vertical="center" wrapText="1"/>
    </xf>
    <xf numFmtId="0" fontId="60" fillId="0" borderId="19" xfId="719">
      <alignment vertical="center" wrapText="1"/>
    </xf>
    <xf numFmtId="3" fontId="8" fillId="4" borderId="12" xfId="720">
      <alignment horizontal="right" vertical="center" wrapText="1"/>
      <protection locked="0"/>
    </xf>
    <xf numFmtId="4" fontId="8" fillId="4" borderId="12" xfId="721">
      <alignment horizontal="right" vertical="center" wrapText="1"/>
      <protection locked="0"/>
    </xf>
    <xf numFmtId="0" fontId="8" fillId="0" borderId="0" xfId="722">
      <alignment vertical="top" wrapText="1"/>
    </xf>
    <xf numFmtId="0" fontId="8" fillId="0" borderId="0" xfId="723">
      <alignment vertical="top"/>
    </xf>
    <xf numFmtId="49" fontId="17" fillId="0" borderId="14" xfId="724">
      <alignment horizontal="left" vertical="center" wrapText="1"/>
    </xf>
    <xf numFmtId="49" fontId="8" fillId="0" borderId="41" xfId="725">
      <alignment horizontal="center" vertical="center" wrapText="1"/>
    </xf>
    <xf numFmtId="0" fontId="8" fillId="0" borderId="41" xfId="726">
      <alignment horizontal="left" vertical="center" wrapText="1"/>
    </xf>
    <xf numFmtId="4" fontId="8" fillId="0" borderId="42" xfId="727">
      <alignment horizontal="center" vertical="center" wrapText="1"/>
    </xf>
    <xf numFmtId="49" fontId="17" fillId="0" borderId="26" xfId="728">
      <alignment horizontal="left" vertical="center" wrapText="1"/>
    </xf>
    <xf numFmtId="49" fontId="8" fillId="0" borderId="43" xfId="729">
      <alignment horizontal="center" vertical="center" wrapText="1"/>
    </xf>
    <xf numFmtId="0" fontId="8" fillId="0" borderId="44" xfId="730">
      <alignment horizontal="left" vertical="center" wrapText="1" indent="1"/>
    </xf>
    <xf numFmtId="4" fontId="8" fillId="7" borderId="43" xfId="731">
      <alignment horizontal="right" vertical="center" wrapText="1"/>
      <protection locked="0"/>
    </xf>
    <xf numFmtId="49" fontId="17" fillId="0" borderId="12" xfId="732">
      <alignment horizontal="left" vertical="center" wrapText="1"/>
    </xf>
    <xf numFmtId="4" fontId="8" fillId="0" borderId="23" xfId="733">
      <alignment horizontal="center" vertical="center" wrapText="1"/>
    </xf>
    <xf numFmtId="4" fontId="8" fillId="7" borderId="45" xfId="734">
      <alignment horizontal="right" vertical="center" wrapText="1"/>
      <protection locked="0"/>
    </xf>
    <xf numFmtId="0" fontId="8" fillId="0" borderId="44" xfId="735">
      <alignment horizontal="left" vertical="center" wrapText="1"/>
    </xf>
    <xf numFmtId="49" fontId="17" fillId="0" borderId="16" xfId="736">
      <alignment horizontal="left" vertical="center" wrapText="1"/>
    </xf>
    <xf numFmtId="0" fontId="8" fillId="0" borderId="43" xfId="737">
      <alignment horizontal="left" vertical="center" wrapText="1" indent="1"/>
    </xf>
    <xf numFmtId="4" fontId="8" fillId="0" borderId="41" xfId="738">
      <alignment horizontal="center" vertical="center" wrapText="1"/>
    </xf>
    <xf numFmtId="0" fontId="8" fillId="0" borderId="43" xfId="739">
      <alignment horizontal="left" vertical="center" wrapText="1"/>
    </xf>
    <xf numFmtId="0" fontId="8" fillId="0" borderId="43" xfId="740">
      <alignment horizontal="left" vertical="center" wrapText="1" indent="2"/>
    </xf>
    <xf numFmtId="4" fontId="8" fillId="0" borderId="43" xfId="741">
      <alignment horizontal="center" vertical="center" wrapText="1"/>
    </xf>
    <xf numFmtId="49" fontId="8" fillId="0" borderId="46" xfId="742">
      <alignment horizontal="center" vertical="center" wrapText="1"/>
    </xf>
    <xf numFmtId="0" fontId="8" fillId="0" borderId="45" xfId="743">
      <alignment horizontal="left" vertical="center" wrapText="1"/>
    </xf>
    <xf numFmtId="4" fontId="8" fillId="0" borderId="45" xfId="744">
      <alignment horizontal="center" vertical="center" wrapText="1"/>
    </xf>
    <xf numFmtId="49" fontId="17" fillId="0" borderId="24" xfId="745">
      <alignment horizontal="left" vertical="center" wrapText="1"/>
    </xf>
    <xf numFmtId="49" fontId="8" fillId="0" borderId="44" xfId="746">
      <alignment horizontal="center" vertical="center" wrapText="1"/>
    </xf>
    <xf numFmtId="4" fontId="8" fillId="7" borderId="44" xfId="747">
      <alignment horizontal="right" vertical="center" wrapText="1"/>
      <protection locked="0"/>
    </xf>
    <xf numFmtId="4" fontId="8" fillId="0" borderId="44" xfId="748">
      <alignment horizontal="center" vertical="center" wrapText="1"/>
    </xf>
    <xf numFmtId="4" fontId="8" fillId="7" borderId="46" xfId="749">
      <alignment horizontal="right" vertical="center" wrapText="1"/>
      <protection locked="0"/>
    </xf>
    <xf numFmtId="0" fontId="27" fillId="0" borderId="20" xfId="750">
      <alignment horizontal="center" vertical="center" wrapText="1"/>
    </xf>
    <xf numFmtId="0" fontId="79" fillId="0" borderId="12" xfId="751">
      <alignment horizontal="center" vertical="center"/>
    </xf>
    <xf numFmtId="168" fontId="79" fillId="4" borderId="14" xfId="752">
      <alignment horizontal="left" vertical="center" wrapText="1" indent="1"/>
      <protection locked="0"/>
    </xf>
    <xf numFmtId="49" fontId="8" fillId="8" borderId="12" xfId="753">
      <alignment horizontal="left" vertical="center" wrapText="1"/>
    </xf>
    <xf numFmtId="49" fontId="17" fillId="8" borderId="14" xfId="754">
      <alignment horizontal="left" vertical="center" wrapText="1"/>
    </xf>
    <xf numFmtId="168" fontId="79" fillId="8" borderId="14" xfId="755">
      <alignment horizontal="left" vertical="center" wrapText="1" indent="1"/>
    </xf>
    <xf numFmtId="0" fontId="8" fillId="6" borderId="12" xfId="756">
      <alignment horizontal="left" vertical="top" wrapText="1" indent="1"/>
    </xf>
    <xf numFmtId="49" fontId="79" fillId="0" borderId="12" xfId="758">
      <alignment horizontal="center" vertical="center"/>
    </xf>
    <xf numFmtId="0" fontId="8" fillId="10" borderId="17" xfId="759">
      <alignment vertical="center" wrapText="1"/>
    </xf>
    <xf numFmtId="0" fontId="8" fillId="0" borderId="11" xfId="760">
      <alignment vertical="center" wrapText="1"/>
    </xf>
    <xf numFmtId="0" fontId="8" fillId="10" borderId="36" xfId="761">
      <alignment vertical="center" wrapText="1"/>
    </xf>
    <xf numFmtId="0" fontId="27" fillId="0" borderId="0" xfId="762">
      <alignment horizontal="center" vertical="center" wrapText="1"/>
    </xf>
    <xf numFmtId="0" fontId="61" fillId="0" borderId="0" xfId="763">
      <alignment vertical="center" wrapText="1"/>
    </xf>
    <xf numFmtId="0" fontId="79" fillId="8" borderId="23" xfId="764">
      <alignment horizontal="center" vertical="center" wrapText="1"/>
    </xf>
    <xf numFmtId="0" fontId="79" fillId="0" borderId="14" xfId="765">
      <alignment horizontal="left" vertical="center" wrapText="1" indent="1"/>
    </xf>
    <xf numFmtId="0" fontId="8" fillId="10" borderId="25" xfId="767">
      <alignment vertical="center" wrapText="1"/>
    </xf>
    <xf numFmtId="0" fontId="8" fillId="8" borderId="10" xfId="768">
      <alignment vertical="center" wrapText="1"/>
    </xf>
    <xf numFmtId="49" fontId="37" fillId="0" borderId="10" xfId="769">
      <alignment vertical="top"/>
    </xf>
    <xf numFmtId="0" fontId="12" fillId="8" borderId="10" xfId="770">
      <alignment horizontal="center" wrapText="1"/>
    </xf>
    <xf numFmtId="0" fontId="8" fillId="0" borderId="4" xfId="774">
      <alignment vertical="center" wrapText="1"/>
    </xf>
    <xf numFmtId="0" fontId="8" fillId="8" borderId="17" xfId="775">
      <alignment vertical="center" wrapText="1"/>
    </xf>
    <xf numFmtId="0" fontId="24" fillId="0" borderId="10" xfId="776">
      <alignment vertical="center" wrapText="1"/>
    </xf>
    <xf numFmtId="0" fontId="8" fillId="0" borderId="4" xfId="779">
      <alignment vertical="center"/>
    </xf>
    <xf numFmtId="49" fontId="8" fillId="0" borderId="19" xfId="781">
      <alignment vertical="top"/>
    </xf>
    <xf numFmtId="49" fontId="79" fillId="6" borderId="14" xfId="785">
      <alignment horizontal="center" vertical="center"/>
    </xf>
    <xf numFmtId="0" fontId="8" fillId="0" borderId="19" xfId="786">
      <alignment vertical="center" wrapText="1"/>
    </xf>
    <xf numFmtId="4" fontId="79" fillId="6" borderId="14" xfId="787">
      <alignment horizontal="right" vertical="center" wrapText="1"/>
    </xf>
    <xf numFmtId="4" fontId="79" fillId="4" borderId="14" xfId="788">
      <alignment horizontal="right" vertical="center" wrapText="1"/>
      <protection locked="0"/>
    </xf>
    <xf numFmtId="49" fontId="79" fillId="0" borderId="14" xfId="789">
      <alignment horizontal="left" vertical="center" wrapText="1" indent="3"/>
    </xf>
    <xf numFmtId="49" fontId="29" fillId="0" borderId="0" xfId="790">
      <alignment vertical="center"/>
    </xf>
    <xf numFmtId="49" fontId="29" fillId="0" borderId="0" xfId="791">
      <alignment vertical="center" wrapText="1"/>
    </xf>
    <xf numFmtId="49" fontId="8" fillId="8" borderId="0" xfId="792">
      <alignment horizontal="center" vertical="top" wrapText="1"/>
    </xf>
    <xf numFmtId="49" fontId="8" fillId="0" borderId="0" xfId="794">
      <alignment horizontal="center" vertical="top" wrapText="1"/>
    </xf>
    <xf numFmtId="49" fontId="8" fillId="0" borderId="0" xfId="795">
      <alignment horizontal="center" vertical="center" wrapText="1"/>
    </xf>
    <xf numFmtId="49" fontId="29" fillId="0" borderId="0" xfId="796">
      <alignment horizontal="center" vertical="center" wrapText="1"/>
    </xf>
    <xf numFmtId="49" fontId="8" fillId="0" borderId="11" xfId="811">
      <alignment horizontal="center" vertical="center" wrapText="1"/>
    </xf>
    <xf numFmtId="49" fontId="29" fillId="8" borderId="0" xfId="812">
      <alignment vertical="center" wrapText="1"/>
    </xf>
    <xf numFmtId="49" fontId="29" fillId="8" borderId="0" xfId="819">
      <alignment vertical="center"/>
    </xf>
    <xf numFmtId="49" fontId="27" fillId="0" borderId="14" xfId="820">
      <alignment horizontal="center" vertical="center"/>
    </xf>
    <xf numFmtId="49" fontId="27" fillId="20" borderId="14" xfId="821">
      <alignment horizontal="center" vertical="center"/>
    </xf>
    <xf numFmtId="0" fontId="27" fillId="0" borderId="14" xfId="822">
      <alignment horizontal="center" vertical="center"/>
    </xf>
    <xf numFmtId="49" fontId="27" fillId="0" borderId="21" xfId="823">
      <alignment horizontal="center" vertical="center"/>
    </xf>
    <xf numFmtId="49" fontId="18" fillId="0" borderId="23" xfId="824">
      <alignment horizontal="center" vertical="center"/>
    </xf>
    <xf numFmtId="0" fontId="8" fillId="0" borderId="23" xfId="825">
      <alignment horizontal="right" vertical="center"/>
    </xf>
    <xf numFmtId="0" fontId="8" fillId="0" borderId="23" xfId="826">
      <alignment horizontal="center" vertical="center"/>
    </xf>
    <xf numFmtId="0" fontId="8" fillId="0" borderId="14" xfId="827">
      <alignment horizontal="right" vertical="center"/>
    </xf>
    <xf numFmtId="4" fontId="29" fillId="8" borderId="0" xfId="828">
      <alignment vertical="center"/>
    </xf>
    <xf numFmtId="49" fontId="62" fillId="0" borderId="0" xfId="829">
      <alignment vertical="center" wrapText="1"/>
    </xf>
    <xf numFmtId="49" fontId="27" fillId="0" borderId="0" xfId="830">
      <alignment horizontal="center" vertical="center" wrapText="1"/>
    </xf>
    <xf numFmtId="3" fontId="8" fillId="7" borderId="12" xfId="831">
      <alignment vertical="center" wrapText="1"/>
      <protection locked="0"/>
    </xf>
    <xf numFmtId="4" fontId="8" fillId="6" borderId="12" xfId="832">
      <alignment horizontal="right" vertical="center" wrapText="1"/>
    </xf>
    <xf numFmtId="0" fontId="18" fillId="0" borderId="14" xfId="833">
      <alignment vertical="top" wrapText="1"/>
    </xf>
    <xf numFmtId="0" fontId="79" fillId="0" borderId="14" xfId="834">
      <alignment vertical="center" wrapText="1"/>
    </xf>
    <xf numFmtId="0" fontId="79" fillId="7" borderId="14" xfId="835">
      <alignment horizontal="left" vertical="center" wrapText="1" indent="2"/>
      <protection locked="0"/>
    </xf>
    <xf numFmtId="49" fontId="59" fillId="10" borderId="16" xfId="836">
      <alignment horizontal="center" vertical="top"/>
    </xf>
    <xf numFmtId="49" fontId="36" fillId="0" borderId="14" xfId="837">
      <alignment horizontal="center" vertical="center" wrapText="1"/>
    </xf>
    <xf numFmtId="0" fontId="36" fillId="0" borderId="14" xfId="838">
      <alignment horizontal="left" vertical="center" wrapText="1" indent="2"/>
    </xf>
    <xf numFmtId="49" fontId="63" fillId="0" borderId="12" xfId="839">
      <alignment horizontal="left" vertical="center" wrapText="1"/>
    </xf>
    <xf numFmtId="0" fontId="8" fillId="0" borderId="23" xfId="840">
      <alignment vertical="top" wrapText="1"/>
    </xf>
    <xf numFmtId="0" fontId="79" fillId="7" borderId="14" xfId="841">
      <alignment horizontal="left" vertical="center" wrapText="1" indent="1"/>
      <protection locked="0"/>
    </xf>
    <xf numFmtId="0" fontId="79" fillId="7" borderId="14" xfId="842">
      <alignment horizontal="left" vertical="center" wrapText="1"/>
      <protection locked="0"/>
    </xf>
    <xf numFmtId="0" fontId="79" fillId="0" borderId="14" xfId="843">
      <alignment horizontal="left" vertical="center" wrapText="1" indent="2"/>
    </xf>
    <xf numFmtId="168" fontId="79" fillId="7" borderId="14" xfId="844">
      <alignment horizontal="left" vertical="center" wrapText="1"/>
      <protection locked="0"/>
    </xf>
    <xf numFmtId="49" fontId="18" fillId="0" borderId="0" xfId="845">
      <alignment vertical="top"/>
    </xf>
    <xf numFmtId="168" fontId="79" fillId="7" borderId="11" xfId="846">
      <alignment horizontal="left" vertical="center" wrapText="1"/>
      <protection locked="0"/>
    </xf>
    <xf numFmtId="168" fontId="79" fillId="7" borderId="12" xfId="847">
      <alignment horizontal="left" vertical="center" wrapText="1"/>
      <protection locked="0"/>
    </xf>
    <xf numFmtId="0" fontId="79" fillId="8" borderId="12" xfId="849">
      <alignment horizontal="right" vertical="center" wrapText="1" indent="1"/>
    </xf>
    <xf numFmtId="49" fontId="79" fillId="8" borderId="23" xfId="851">
      <alignment horizontal="center" vertical="center" wrapText="1"/>
    </xf>
    <xf numFmtId="49" fontId="28" fillId="10" borderId="36" xfId="855">
      <alignment horizontal="left" vertical="center" indent="2"/>
    </xf>
    <xf numFmtId="49" fontId="79" fillId="8" borderId="12" xfId="859">
      <alignment horizontal="center" vertical="center" wrapText="1"/>
    </xf>
    <xf numFmtId="49" fontId="8" fillId="0" borderId="17" xfId="860">
      <alignment vertical="top"/>
    </xf>
    <xf numFmtId="49" fontId="8" fillId="0" borderId="0" xfId="861">
      <alignment vertical="top" wrapText="1"/>
    </xf>
    <xf numFmtId="0" fontId="8" fillId="0" borderId="17" xfId="862">
      <alignment horizontal="left" vertical="top" wrapText="1"/>
    </xf>
    <xf numFmtId="3" fontId="8" fillId="0" borderId="12" xfId="863">
      <alignment vertical="center" wrapText="1"/>
    </xf>
    <xf numFmtId="4" fontId="8" fillId="0" borderId="12" xfId="864">
      <alignment horizontal="right" vertical="center" wrapText="1"/>
    </xf>
    <xf numFmtId="49" fontId="9" fillId="17" borderId="0" xfId="865">
      <alignment horizontal="center" vertical="center"/>
    </xf>
    <xf numFmtId="49" fontId="8" fillId="0" borderId="14" xfId="866">
      <alignment horizontal="center" vertical="top"/>
    </xf>
    <xf numFmtId="49" fontId="18" fillId="17" borderId="0" xfId="867">
      <alignment horizontal="center" vertical="center" wrapText="1"/>
    </xf>
    <xf numFmtId="0" fontId="79" fillId="16" borderId="14" xfId="868">
      <alignment horizontal="center" vertical="center"/>
    </xf>
    <xf numFmtId="49" fontId="18" fillId="17" borderId="14" xfId="869">
      <alignment horizontal="center" vertical="center"/>
    </xf>
    <xf numFmtId="49" fontId="18" fillId="18" borderId="14" xfId="870">
      <alignment horizontal="center" vertical="center"/>
    </xf>
    <xf numFmtId="49" fontId="79" fillId="19" borderId="14" xfId="871">
      <alignment horizontal="center" vertical="center"/>
    </xf>
    <xf numFmtId="0" fontId="8" fillId="0" borderId="14" xfId="872">
      <alignment vertical="center"/>
    </xf>
    <xf numFmtId="0" fontId="79" fillId="0" borderId="14" xfId="873">
      <alignment vertical="center"/>
    </xf>
    <xf numFmtId="0" fontId="79" fillId="0" borderId="12" xfId="874">
      <alignment vertical="center"/>
    </xf>
    <xf numFmtId="0" fontId="8" fillId="0" borderId="12" xfId="875">
      <alignment horizontal="left" vertical="center"/>
    </xf>
    <xf numFmtId="49" fontId="8" fillId="0" borderId="48" xfId="876">
      <alignment vertical="center"/>
    </xf>
    <xf numFmtId="49" fontId="8" fillId="0" borderId="49" xfId="877">
      <alignment vertical="top"/>
    </xf>
    <xf numFmtId="49" fontId="8" fillId="0" borderId="50" xfId="878">
      <alignment vertical="top"/>
    </xf>
    <xf numFmtId="0" fontId="79" fillId="0" borderId="11" xfId="879">
      <alignment vertical="center"/>
    </xf>
    <xf numFmtId="0" fontId="79" fillId="0" borderId="14" xfId="880">
      <alignment horizontal="right" vertical="top"/>
    </xf>
    <xf numFmtId="0" fontId="79" fillId="0" borderId="14" xfId="881">
      <alignment vertical="top"/>
    </xf>
    <xf numFmtId="0" fontId="8" fillId="0" borderId="11" xfId="882">
      <alignment vertical="center"/>
    </xf>
    <xf numFmtId="49" fontId="8" fillId="0" borderId="14" xfId="883">
      <alignment vertical="center"/>
    </xf>
    <xf numFmtId="0" fontId="8" fillId="0" borderId="14" xfId="884">
      <alignment vertical="top"/>
    </xf>
    <xf numFmtId="0" fontId="79" fillId="21" borderId="0" xfId="885">
      <alignment horizontal="right" vertical="center"/>
    </xf>
    <xf numFmtId="0" fontId="79" fillId="21" borderId="0" xfId="886">
      <alignment horizontal="left" vertical="center"/>
    </xf>
    <xf numFmtId="0" fontId="79" fillId="0" borderId="0" xfId="887">
      <alignment horizontal="right" vertical="top"/>
    </xf>
    <xf numFmtId="49" fontId="8" fillId="0" borderId="12" xfId="888">
      <alignment vertical="top"/>
    </xf>
    <xf numFmtId="0" fontId="52" fillId="21" borderId="0" xfId="889">
      <alignment horizontal="left" vertical="center"/>
    </xf>
    <xf numFmtId="49" fontId="79" fillId="0" borderId="12" xfId="890">
      <alignment vertical="top"/>
    </xf>
    <xf numFmtId="49" fontId="8" fillId="0" borderId="14" xfId="891">
      <alignment horizontal="right" vertical="top"/>
    </xf>
    <xf numFmtId="0" fontId="79" fillId="0" borderId="12" xfId="892">
      <alignment horizontal="left" vertical="center"/>
    </xf>
    <xf numFmtId="49" fontId="8" fillId="0" borderId="23" xfId="893">
      <alignment horizontal="right" vertical="top"/>
    </xf>
    <xf numFmtId="0" fontId="79" fillId="0" borderId="23" xfId="894">
      <alignment vertical="top"/>
    </xf>
    <xf numFmtId="0" fontId="8" fillId="0" borderId="23" xfId="895">
      <alignment vertical="center"/>
    </xf>
    <xf numFmtId="49" fontId="8" fillId="0" borderId="43" xfId="896">
      <alignment horizontal="center" vertical="center"/>
    </xf>
    <xf numFmtId="49" fontId="8" fillId="0" borderId="14" xfId="897">
      <alignment horizontal="right" vertical="center"/>
    </xf>
    <xf numFmtId="49" fontId="8" fillId="0" borderId="14" xfId="898">
      <alignment vertical="top"/>
    </xf>
    <xf numFmtId="0" fontId="8" fillId="21" borderId="0" xfId="899">
      <alignment horizontal="left" vertical="center"/>
    </xf>
    <xf numFmtId="0" fontId="79" fillId="21" borderId="51" xfId="900">
      <alignment horizontal="center"/>
    </xf>
    <xf numFmtId="49" fontId="64" fillId="0" borderId="50" xfId="901">
      <alignment vertical="top"/>
    </xf>
    <xf numFmtId="49" fontId="29" fillId="13" borderId="0" xfId="902">
      <alignment vertical="center" wrapText="1"/>
    </xf>
    <xf numFmtId="0" fontId="79" fillId="0" borderId="51" xfId="903">
      <alignment horizontal="center"/>
    </xf>
    <xf numFmtId="49" fontId="9" fillId="17" borderId="0" xfId="904">
      <alignment horizontal="center" vertical="center" wrapText="1"/>
    </xf>
    <xf numFmtId="49" fontId="8" fillId="21" borderId="0" xfId="905">
      <alignment horizontal="center" vertical="center"/>
    </xf>
    <xf numFmtId="49" fontId="79" fillId="4" borderId="43" xfId="906">
      <alignment horizontal="left" vertical="center"/>
      <protection locked="0"/>
    </xf>
    <xf numFmtId="49" fontId="79" fillId="0" borderId="43" xfId="907">
      <alignment horizontal="right" vertical="center"/>
    </xf>
    <xf numFmtId="0" fontId="79" fillId="6" borderId="43" xfId="908">
      <alignment horizontal="center" vertical="center"/>
    </xf>
    <xf numFmtId="49" fontId="79" fillId="0" borderId="43" xfId="909">
      <alignment horizontal="center" vertical="center"/>
    </xf>
    <xf numFmtId="0" fontId="2" fillId="0" borderId="52" xfId="910">
      <alignment horizontal="center" vertical="center"/>
    </xf>
    <xf numFmtId="0" fontId="79" fillId="0" borderId="52" xfId="911">
      <alignment horizontal="center" vertical="center"/>
    </xf>
    <xf numFmtId="49" fontId="9" fillId="17" borderId="14" xfId="912">
      <alignment horizontal="right" vertical="center"/>
    </xf>
    <xf numFmtId="49" fontId="8" fillId="4" borderId="24" xfId="913">
      <alignment vertical="top"/>
      <protection locked="0"/>
    </xf>
    <xf numFmtId="0" fontId="79" fillId="20" borderId="14" xfId="914">
      <alignment horizontal="right" vertical="center"/>
    </xf>
    <xf numFmtId="49" fontId="8" fillId="20" borderId="21" xfId="915">
      <alignment vertical="top"/>
    </xf>
    <xf numFmtId="49" fontId="8" fillId="20" borderId="14" xfId="916">
      <alignment vertical="top"/>
    </xf>
    <xf numFmtId="49" fontId="8" fillId="0" borderId="12" xfId="917">
      <alignment horizontal="center" vertical="top"/>
    </xf>
    <xf numFmtId="49" fontId="8" fillId="0" borderId="11" xfId="918">
      <alignment horizontal="center" vertical="top"/>
    </xf>
    <xf numFmtId="0" fontId="8" fillId="6" borderId="26" xfId="919">
      <alignment horizontal="center" vertical="top"/>
    </xf>
    <xf numFmtId="0" fontId="8" fillId="6" borderId="26" xfId="920">
      <alignment horizontal="left" vertical="top"/>
    </xf>
    <xf numFmtId="0" fontId="79" fillId="0" borderId="41" xfId="921">
      <alignment horizontal="center" vertical="center"/>
    </xf>
    <xf numFmtId="0" fontId="79" fillId="0" borderId="46" xfId="922">
      <alignment horizontal="center" vertical="center"/>
    </xf>
    <xf numFmtId="0" fontId="8" fillId="0" borderId="14" xfId="923">
      <alignment horizontal="left" vertical="top"/>
    </xf>
    <xf numFmtId="0" fontId="79" fillId="0" borderId="44" xfId="924">
      <alignment horizontal="center" vertical="center"/>
    </xf>
    <xf numFmtId="49" fontId="9" fillId="17" borderId="12" xfId="925">
      <alignment horizontal="right" vertical="center"/>
    </xf>
    <xf numFmtId="49" fontId="79" fillId="0" borderId="0" xfId="926">
      <alignment vertical="center"/>
    </xf>
    <xf numFmtId="0" fontId="79" fillId="21" borderId="0" xfId="927">
      <alignment horizontal="right" vertical="top" wrapText="1"/>
    </xf>
    <xf numFmtId="49" fontId="8" fillId="8" borderId="14" xfId="928">
      <alignment horizontal="center" vertical="center"/>
    </xf>
    <xf numFmtId="0" fontId="18" fillId="8" borderId="0" xfId="929"/>
    <xf numFmtId="0" fontId="65" fillId="8" borderId="0" xfId="930"/>
    <xf numFmtId="0" fontId="24" fillId="8" borderId="0" xfId="931">
      <alignment horizontal="center" vertical="center" wrapText="1"/>
    </xf>
    <xf numFmtId="0" fontId="35" fillId="8" borderId="0" xfId="933">
      <alignment vertical="center" wrapText="1"/>
    </xf>
    <xf numFmtId="0" fontId="24" fillId="8" borderId="14" xfId="934">
      <alignment horizontal="center" vertical="center"/>
    </xf>
    <xf numFmtId="0" fontId="36" fillId="8" borderId="0" xfId="936"/>
    <xf numFmtId="0" fontId="57" fillId="8" borderId="0" xfId="938"/>
    <xf numFmtId="0" fontId="8" fillId="8" borderId="14" xfId="939">
      <alignment horizontal="left" vertical="top" wrapText="1"/>
    </xf>
    <xf numFmtId="49" fontId="17" fillId="4" borderId="21" xfId="940">
      <alignment horizontal="left" vertical="center" wrapText="1"/>
      <protection locked="0"/>
    </xf>
    <xf numFmtId="0" fontId="8" fillId="8" borderId="14" xfId="941">
      <alignment vertical="top" wrapText="1"/>
    </xf>
    <xf numFmtId="14" fontId="8" fillId="7" borderId="12" xfId="942">
      <alignment horizontal="left" vertical="center" wrapText="1" indent="1"/>
      <protection locked="0"/>
    </xf>
    <xf numFmtId="0" fontId="18" fillId="0" borderId="33" xfId="943">
      <alignment horizontal="left" vertical="center" wrapText="1" indent="1"/>
    </xf>
    <xf numFmtId="169" fontId="8" fillId="0" borderId="24" xfId="944">
      <alignment horizontal="center" vertical="center" wrapText="1"/>
    </xf>
    <xf numFmtId="169" fontId="8" fillId="0" borderId="23" xfId="945">
      <alignment horizontal="center" vertical="center" wrapText="1"/>
    </xf>
    <xf numFmtId="14" fontId="8" fillId="9" borderId="14" xfId="947">
      <alignment horizontal="left" vertical="center" wrapText="1"/>
    </xf>
    <xf numFmtId="14" fontId="8" fillId="7" borderId="14" xfId="948">
      <alignment horizontal="left" vertical="center" wrapText="1" indent="1"/>
      <protection locked="0"/>
    </xf>
    <xf numFmtId="49" fontId="12" fillId="10" borderId="26" xfId="949">
      <alignment horizontal="right" vertical="center" wrapText="1"/>
    </xf>
    <xf numFmtId="49" fontId="79" fillId="10" borderId="36" xfId="950">
      <alignment horizontal="right" vertical="center" wrapText="1"/>
    </xf>
    <xf numFmtId="49" fontId="79" fillId="10" borderId="25" xfId="951">
      <alignment horizontal="right" vertical="center" wrapText="1"/>
    </xf>
    <xf numFmtId="168" fontId="79" fillId="7" borderId="16" xfId="952">
      <alignment horizontal="left" vertical="center" wrapText="1" indent="1"/>
      <protection locked="0"/>
    </xf>
    <xf numFmtId="172" fontId="8" fillId="7" borderId="14" xfId="953">
      <alignment horizontal="left" vertical="center" wrapText="1" indent="1"/>
      <protection locked="0"/>
    </xf>
    <xf numFmtId="0" fontId="66" fillId="0" borderId="0" xfId="954">
      <alignment vertical="center"/>
    </xf>
    <xf numFmtId="168" fontId="24" fillId="0" borderId="0" xfId="955">
      <alignment horizontal="center" vertical="center" wrapText="1"/>
    </xf>
    <xf numFmtId="169" fontId="8" fillId="0" borderId="21" xfId="959">
      <alignment horizontal="center" vertical="center" wrapText="1"/>
    </xf>
    <xf numFmtId="0" fontId="8" fillId="6" borderId="21" xfId="960">
      <alignment horizontal="left" vertical="center" wrapText="1" indent="1"/>
    </xf>
    <xf numFmtId="14" fontId="8" fillId="7" borderId="21" xfId="961">
      <alignment horizontal="left" vertical="center" wrapText="1" indent="1"/>
      <protection locked="0"/>
    </xf>
    <xf numFmtId="14" fontId="8" fillId="0" borderId="21" xfId="963">
      <alignment horizontal="left" vertical="center" wrapText="1" indent="1"/>
    </xf>
    <xf numFmtId="49" fontId="17" fillId="10" borderId="36" xfId="964">
      <alignment horizontal="left" vertical="center" wrapText="1"/>
    </xf>
    <xf numFmtId="49" fontId="17" fillId="10" borderId="25" xfId="965">
      <alignment horizontal="left" vertical="center" wrapText="1"/>
    </xf>
    <xf numFmtId="0" fontId="8" fillId="8" borderId="33" xfId="966">
      <alignment vertical="center" wrapText="1"/>
    </xf>
    <xf numFmtId="0" fontId="24" fillId="0" borderId="36" xfId="967">
      <alignment horizontal="center" vertical="center" wrapText="1"/>
    </xf>
    <xf numFmtId="0" fontId="8" fillId="8" borderId="19" xfId="968">
      <alignment vertical="center" wrapText="1"/>
    </xf>
    <xf numFmtId="0" fontId="27" fillId="0" borderId="14" xfId="969">
      <alignment horizontal="center" vertical="center" wrapText="1"/>
    </xf>
    <xf numFmtId="169" fontId="29" fillId="0" borderId="17" xfId="971">
      <alignment horizontal="center" vertical="center" wrapText="1"/>
    </xf>
    <xf numFmtId="169" fontId="29" fillId="0" borderId="18" xfId="972">
      <alignment horizontal="center" vertical="center" wrapText="1"/>
    </xf>
    <xf numFmtId="0" fontId="26" fillId="0" borderId="0" xfId="973">
      <alignment horizontal="center" vertical="center" wrapText="1"/>
    </xf>
    <xf numFmtId="49" fontId="8" fillId="7" borderId="36" xfId="977">
      <alignment horizontal="left" vertical="center" wrapText="1"/>
      <protection locked="0"/>
    </xf>
    <xf numFmtId="49" fontId="8" fillId="7" borderId="26" xfId="978">
      <alignment horizontal="left" vertical="center" wrapText="1"/>
      <protection locked="0"/>
    </xf>
    <xf numFmtId="0" fontId="68" fillId="8" borderId="0" xfId="982">
      <alignment horizontal="center" vertical="center" wrapText="1"/>
    </xf>
    <xf numFmtId="0" fontId="9" fillId="8" borderId="0" xfId="983"/>
    <xf numFmtId="49" fontId="30" fillId="0" borderId="0" xfId="985">
      <alignment horizontal="center" vertical="center"/>
    </xf>
    <xf numFmtId="0" fontId="8" fillId="0" borderId="0" xfId="986"/>
    <xf numFmtId="0" fontId="30" fillId="8" borderId="0" xfId="987">
      <alignment horizontal="center" vertical="center"/>
    </xf>
    <xf numFmtId="0" fontId="8" fillId="8" borderId="23" xfId="988">
      <alignment horizontal="center" vertical="center"/>
    </xf>
    <xf numFmtId="49" fontId="8" fillId="0" borderId="23" xfId="989">
      <alignment horizontal="left" vertical="center" wrapText="1"/>
    </xf>
    <xf numFmtId="49" fontId="28" fillId="10" borderId="11" xfId="990">
      <alignment horizontal="left" vertical="center"/>
    </xf>
    <xf numFmtId="0" fontId="30" fillId="0" borderId="0" xfId="991">
      <alignment horizontal="center" vertical="center"/>
    </xf>
    <xf numFmtId="49" fontId="79" fillId="0" borderId="53" xfId="993">
      <alignment horizontal="center" vertical="center"/>
    </xf>
    <xf numFmtId="49" fontId="79" fillId="22" borderId="0" xfId="994">
      <alignment vertical="top"/>
    </xf>
    <xf numFmtId="0" fontId="30" fillId="8" borderId="0" xfId="995">
      <alignment horizontal="center"/>
    </xf>
    <xf numFmtId="0" fontId="27" fillId="0" borderId="0" xfId="996">
      <alignment vertical="top" wrapText="1"/>
    </xf>
    <xf numFmtId="14" fontId="8" fillId="9" borderId="14" xfId="997">
      <alignment horizontal="left" vertical="center" wrapText="1" indent="1"/>
    </xf>
    <xf numFmtId="49" fontId="8" fillId="6" borderId="14" xfId="998">
      <alignment horizontal="center" vertical="center" wrapText="1"/>
    </xf>
    <xf numFmtId="49" fontId="39" fillId="22" borderId="0" xfId="999">
      <alignment vertical="top"/>
    </xf>
    <xf numFmtId="0" fontId="34" fillId="0" borderId="23" xfId="1002">
      <alignment horizontal="center" vertical="center" wrapText="1"/>
    </xf>
    <xf numFmtId="49" fontId="33" fillId="0" borderId="14" xfId="1003">
      <alignment horizontal="left" vertical="center" wrapText="1" indent="1"/>
    </xf>
    <xf numFmtId="0" fontId="8" fillId="8" borderId="0" xfId="1006">
      <alignment horizontal="center" vertical="top" wrapText="1"/>
    </xf>
    <xf numFmtId="0" fontId="24" fillId="8" borderId="14" xfId="1007">
      <alignment horizontal="center" vertical="center" wrapText="1"/>
    </xf>
    <xf numFmtId="14" fontId="8" fillId="9" borderId="25" xfId="1008">
      <alignment horizontal="left" vertical="center" wrapText="1"/>
    </xf>
    <xf numFmtId="49" fontId="69" fillId="7" borderId="14" xfId="1009">
      <alignment horizontal="left" vertical="center" wrapText="1"/>
      <protection locked="0"/>
    </xf>
    <xf numFmtId="0" fontId="79" fillId="7" borderId="12" xfId="1010">
      <alignment horizontal="left" vertical="center" wrapText="1" indent="2"/>
      <protection locked="0"/>
    </xf>
    <xf numFmtId="0" fontId="30" fillId="0" borderId="20" xfId="1011">
      <alignment horizontal="center" vertical="center" wrapText="1"/>
    </xf>
    <xf numFmtId="49" fontId="8" fillId="7" borderId="23" xfId="1023">
      <alignment horizontal="left" vertical="center" wrapText="1" indent="1"/>
      <protection locked="0"/>
    </xf>
    <xf numFmtId="0" fontId="8" fillId="0" borderId="20" xfId="1024">
      <alignment vertical="top" wrapText="1"/>
    </xf>
    <xf numFmtId="49" fontId="8" fillId="0" borderId="33" xfId="1029">
      <alignment horizontal="center" vertical="top" wrapText="1"/>
    </xf>
    <xf numFmtId="0" fontId="79" fillId="6" borderId="33" xfId="1030">
      <alignment horizontal="left" vertical="top" wrapText="1" indent="1"/>
    </xf>
    <xf numFmtId="49" fontId="8" fillId="9" borderId="33" xfId="1031">
      <alignment horizontal="center" vertical="top" wrapText="1"/>
    </xf>
    <xf numFmtId="49" fontId="79" fillId="7" borderId="33" xfId="1032">
      <alignment horizontal="center" vertical="top" wrapText="1"/>
      <protection locked="0"/>
    </xf>
    <xf numFmtId="49" fontId="79" fillId="4" borderId="33" xfId="1033">
      <alignment horizontal="center" vertical="top" wrapText="1"/>
      <protection locked="0"/>
    </xf>
    <xf numFmtId="49" fontId="8" fillId="9" borderId="33" xfId="1034">
      <alignment horizontal="left" vertical="top" wrapText="1"/>
    </xf>
    <xf numFmtId="49" fontId="8" fillId="7" borderId="33" xfId="1035">
      <alignment horizontal="left" vertical="top" wrapText="1"/>
      <protection locked="0"/>
    </xf>
    <xf numFmtId="49" fontId="79" fillId="6" borderId="33" xfId="1036">
      <alignment horizontal="center" vertical="top" wrapText="1"/>
    </xf>
    <xf numFmtId="0" fontId="8" fillId="6" borderId="33" xfId="1037">
      <alignment horizontal="center" vertical="top" wrapText="1"/>
    </xf>
    <xf numFmtId="0" fontId="8" fillId="4" borderId="33" xfId="1038">
      <alignment horizontal="left" vertical="top" wrapText="1"/>
      <protection locked="0"/>
    </xf>
    <xf numFmtId="0" fontId="70" fillId="0" borderId="54" xfId="1039">
      <alignment horizontal="left" vertical="center" indent="1"/>
    </xf>
    <xf numFmtId="0" fontId="70" fillId="0" borderId="55" xfId="1040">
      <alignment horizontal="left" vertical="center" indent="1"/>
    </xf>
    <xf numFmtId="0" fontId="79" fillId="0" borderId="55" xfId="1041">
      <alignment horizontal="left" vertical="center" wrapText="1"/>
    </xf>
    <xf numFmtId="0" fontId="8" fillId="0" borderId="55" xfId="1042">
      <alignment vertical="center" wrapText="1"/>
    </xf>
    <xf numFmtId="0" fontId="8" fillId="0" borderId="56" xfId="1043">
      <alignment vertical="center" wrapText="1"/>
    </xf>
    <xf numFmtId="0" fontId="8" fillId="0" borderId="57" xfId="1044">
      <alignment vertical="center" wrapText="1"/>
    </xf>
    <xf numFmtId="49" fontId="71" fillId="0" borderId="35" xfId="1048">
      <alignment horizontal="left" vertical="center" indent="1"/>
    </xf>
    <xf numFmtId="49" fontId="71" fillId="0" borderId="35" xfId="1049">
      <alignment horizontal="center" vertical="center"/>
    </xf>
    <xf numFmtId="0" fontId="71" fillId="0" borderId="14" xfId="1052">
      <alignment horizontal="center" vertical="center"/>
    </xf>
    <xf numFmtId="49" fontId="71" fillId="0" borderId="12" xfId="1054">
      <alignment horizontal="left" vertical="center" indent="1"/>
    </xf>
    <xf numFmtId="49" fontId="71" fillId="0" borderId="16" xfId="1055">
      <alignment horizontal="left" vertical="center" indent="1"/>
    </xf>
    <xf numFmtId="49" fontId="71" fillId="0" borderId="16" xfId="1056">
      <alignment vertical="top" wrapText="1"/>
    </xf>
    <xf numFmtId="49" fontId="71" fillId="0" borderId="11" xfId="1057">
      <alignment vertical="top" wrapText="1"/>
    </xf>
    <xf numFmtId="0" fontId="71" fillId="0" borderId="14" xfId="1059">
      <alignment horizontal="left" vertical="center" wrapText="1" indent="1"/>
    </xf>
    <xf numFmtId="4" fontId="18" fillId="0" borderId="43" xfId="1060">
      <alignment horizontal="right" vertical="center" wrapText="1"/>
    </xf>
    <xf numFmtId="49" fontId="18" fillId="0" borderId="16" xfId="1062">
      <alignment horizontal="left" vertical="center" indent="1"/>
    </xf>
    <xf numFmtId="49" fontId="71" fillId="0" borderId="58" xfId="1063">
      <alignment vertical="top" wrapText="1"/>
    </xf>
    <xf numFmtId="49" fontId="71" fillId="0" borderId="58" xfId="1064">
      <alignment horizontal="left" vertical="center" indent="1"/>
    </xf>
    <xf numFmtId="0" fontId="79" fillId="10" borderId="60" xfId="1066">
      <alignment horizontal="left" vertical="center"/>
    </xf>
    <xf numFmtId="49" fontId="28" fillId="10" borderId="61" xfId="1067">
      <alignment horizontal="left" vertical="center" indent="1"/>
    </xf>
    <xf numFmtId="0" fontId="8" fillId="10" borderId="60" xfId="1068">
      <alignment vertical="center" wrapText="1"/>
    </xf>
    <xf numFmtId="0" fontId="8" fillId="10" borderId="61" xfId="1069">
      <alignment vertical="center" wrapText="1"/>
    </xf>
    <xf numFmtId="49" fontId="79" fillId="6" borderId="33" xfId="1070">
      <alignment vertical="top"/>
    </xf>
    <xf numFmtId="49" fontId="79" fillId="0" borderId="33" xfId="1071">
      <alignment vertical="top"/>
    </xf>
    <xf numFmtId="49" fontId="8" fillId="9" borderId="23" xfId="1072">
      <alignment vertical="center" wrapText="1"/>
    </xf>
    <xf numFmtId="49" fontId="79" fillId="7" borderId="33" xfId="1073">
      <alignment vertical="top"/>
      <protection locked="0"/>
    </xf>
    <xf numFmtId="0" fontId="29" fillId="0" borderId="14" xfId="1075">
      <alignment horizontal="center" vertical="center"/>
    </xf>
    <xf numFmtId="49" fontId="74" fillId="10" borderId="12" xfId="1077">
      <alignment horizontal="left" vertical="center" indent="1"/>
    </xf>
    <xf numFmtId="49" fontId="74" fillId="10" borderId="16" xfId="1078">
      <alignment horizontal="left" vertical="center" indent="1"/>
    </xf>
    <xf numFmtId="49" fontId="29" fillId="10" borderId="16" xfId="1079">
      <alignment vertical="top" wrapText="1"/>
    </xf>
    <xf numFmtId="49" fontId="79" fillId="7" borderId="23" xfId="1080">
      <alignment vertical="top"/>
      <protection locked="0"/>
    </xf>
    <xf numFmtId="14" fontId="8" fillId="9" borderId="33" xfId="1081">
      <alignment horizontal="left" vertical="center" wrapText="1" indent="1"/>
    </xf>
    <xf numFmtId="14" fontId="8" fillId="9" borderId="19" xfId="1082">
      <alignment horizontal="left" vertical="center" wrapText="1" indent="1"/>
    </xf>
    <xf numFmtId="49" fontId="8" fillId="9" borderId="33" xfId="1083">
      <alignment vertical="center" wrapText="1"/>
    </xf>
    <xf numFmtId="0" fontId="29" fillId="9" borderId="14" xfId="1086">
      <alignment horizontal="left" vertical="center" wrapText="1" indent="1"/>
    </xf>
    <xf numFmtId="49" fontId="8" fillId="9" borderId="21" xfId="1087">
      <alignment vertical="center" wrapText="1"/>
    </xf>
    <xf numFmtId="49" fontId="79" fillId="7" borderId="21" xfId="1089">
      <alignment vertical="top"/>
      <protection locked="0"/>
    </xf>
    <xf numFmtId="49" fontId="73" fillId="0" borderId="33" xfId="1090">
      <alignment horizontal="center" vertical="top" wrapText="1"/>
    </xf>
    <xf numFmtId="0" fontId="29" fillId="0" borderId="11" xfId="1091">
      <alignment horizontal="center" vertical="center"/>
    </xf>
    <xf numFmtId="49" fontId="74" fillId="10" borderId="34" xfId="1093">
      <alignment horizontal="left" vertical="center" indent="1"/>
    </xf>
    <xf numFmtId="49" fontId="71" fillId="10" borderId="35" xfId="1094">
      <alignment horizontal="center" vertical="center"/>
    </xf>
    <xf numFmtId="49" fontId="74" fillId="10" borderId="35" xfId="1095">
      <alignment horizontal="left" vertical="center" indent="1"/>
    </xf>
    <xf numFmtId="49" fontId="29" fillId="10" borderId="11" xfId="1098">
      <alignment vertical="top" wrapText="1"/>
    </xf>
    <xf numFmtId="49" fontId="29" fillId="10" borderId="58" xfId="1099">
      <alignment vertical="top" wrapText="1"/>
    </xf>
    <xf numFmtId="49" fontId="74" fillId="10" borderId="58" xfId="1100">
      <alignment horizontal="left" vertical="center" indent="1"/>
    </xf>
    <xf numFmtId="0" fontId="70" fillId="0" borderId="62" xfId="1101">
      <alignment horizontal="left" vertical="center" indent="1"/>
    </xf>
    <xf numFmtId="49" fontId="8" fillId="0" borderId="63" xfId="1102">
      <alignment horizontal="center" vertical="center"/>
    </xf>
    <xf numFmtId="0" fontId="8" fillId="0" borderId="63" xfId="1103">
      <alignment horizontal="right" vertical="center"/>
    </xf>
    <xf numFmtId="0" fontId="8" fillId="0" borderId="63" xfId="1104">
      <alignment horizontal="center" vertical="center"/>
    </xf>
    <xf numFmtId="0" fontId="8" fillId="0" borderId="16" xfId="1105">
      <alignment horizontal="right" vertical="center"/>
    </xf>
    <xf numFmtId="0" fontId="8" fillId="0" borderId="11" xfId="1106">
      <alignment horizontal="right" vertical="center"/>
    </xf>
    <xf numFmtId="49" fontId="8" fillId="4" borderId="14" xfId="1107">
      <alignment horizontal="left" vertical="center" indent="1"/>
      <protection locked="0"/>
    </xf>
    <xf numFmtId="0" fontId="8" fillId="20" borderId="14" xfId="1108">
      <alignment horizontal="right" vertical="center"/>
    </xf>
    <xf numFmtId="4" fontId="8" fillId="4" borderId="14" xfId="1109">
      <alignment horizontal="right" vertical="center"/>
      <protection locked="0"/>
    </xf>
    <xf numFmtId="49" fontId="28" fillId="10" borderId="64" xfId="1110">
      <alignment horizontal="left" vertical="center" indent="1"/>
    </xf>
    <xf numFmtId="49" fontId="28" fillId="23" borderId="11" xfId="1111">
      <alignment horizontal="left" vertical="center" indent="1"/>
    </xf>
    <xf numFmtId="49" fontId="8" fillId="0" borderId="33" xfId="1112">
      <alignment horizontal="center" vertical="center" wrapText="1"/>
    </xf>
    <xf numFmtId="0" fontId="28" fillId="0" borderId="14" xfId="1113">
      <alignment horizontal="left" vertical="center" indent="1"/>
    </xf>
    <xf numFmtId="0" fontId="24" fillId="0" borderId="21" xfId="1115">
      <alignment vertical="center" wrapText="1"/>
    </xf>
    <xf numFmtId="2" fontId="24" fillId="0" borderId="21" xfId="1116">
      <alignment horizontal="center" vertical="center" wrapText="1"/>
    </xf>
    <xf numFmtId="49" fontId="24" fillId="0" borderId="12" xfId="1117">
      <alignment horizontal="left" vertical="center"/>
    </xf>
    <xf numFmtId="49" fontId="24" fillId="0" borderId="16" xfId="1118">
      <alignment horizontal="left" vertical="center" indent="1"/>
    </xf>
    <xf numFmtId="49" fontId="24" fillId="0" borderId="16" xfId="1119">
      <alignment horizontal="left" vertical="center"/>
    </xf>
    <xf numFmtId="49" fontId="24" fillId="0" borderId="11" xfId="1120">
      <alignment horizontal="left" vertical="center" indent="1"/>
    </xf>
    <xf numFmtId="0" fontId="24" fillId="0" borderId="14" xfId="1121">
      <alignment horizontal="left" vertical="center" indent="1"/>
    </xf>
    <xf numFmtId="49" fontId="79" fillId="0" borderId="17" xfId="1122">
      <alignment vertical="top"/>
    </xf>
    <xf numFmtId="49" fontId="79" fillId="0" borderId="11" xfId="1125">
      <alignment horizontal="center" vertical="center" wrapText="1"/>
    </xf>
    <xf numFmtId="49" fontId="79" fillId="0" borderId="25" xfId="1127">
      <alignment horizontal="center" vertical="center" wrapText="1"/>
    </xf>
    <xf numFmtId="49" fontId="79" fillId="10" borderId="26" xfId="1128">
      <alignment horizontal="center" vertical="center"/>
    </xf>
    <xf numFmtId="49" fontId="79" fillId="10" borderId="16" xfId="1129">
      <alignment horizontal="center" vertical="center"/>
    </xf>
    <xf numFmtId="49" fontId="79" fillId="0" borderId="19" xfId="1131">
      <alignment vertical="top"/>
    </xf>
    <xf numFmtId="49" fontId="79" fillId="0" borderId="20" xfId="1132">
      <alignment vertical="top"/>
    </xf>
    <xf numFmtId="0" fontId="28" fillId="10" borderId="12" xfId="1135">
      <alignment horizontal="left" vertical="center"/>
    </xf>
    <xf numFmtId="0" fontId="28" fillId="10" borderId="16" xfId="1136">
      <alignment horizontal="left" vertical="center"/>
    </xf>
    <xf numFmtId="0" fontId="28" fillId="10" borderId="11" xfId="1137">
      <alignment horizontal="left" vertical="center"/>
    </xf>
    <xf numFmtId="0" fontId="79" fillId="10" borderId="16" xfId="1141">
      <alignment vertical="center"/>
    </xf>
    <xf numFmtId="49" fontId="79" fillId="0" borderId="33" xfId="1142">
      <alignment horizontal="left" vertical="top"/>
    </xf>
    <xf numFmtId="49" fontId="79" fillId="9" borderId="33" xfId="1143">
      <alignment horizontal="left" vertical="top"/>
    </xf>
    <xf numFmtId="49" fontId="79" fillId="4" borderId="33" xfId="1144">
      <alignment horizontal="left" vertical="top"/>
      <protection locked="0"/>
    </xf>
    <xf numFmtId="49" fontId="8" fillId="9" borderId="0" xfId="1145">
      <alignment horizontal="center" vertical="center" wrapText="1"/>
    </xf>
    <xf numFmtId="0" fontId="28" fillId="0" borderId="33" xfId="1146">
      <alignment horizontal="left" vertical="center"/>
    </xf>
    <xf numFmtId="49" fontId="79" fillId="9" borderId="33" xfId="1147">
      <alignment horizontal="left" vertical="center" wrapText="1"/>
    </xf>
    <xf numFmtId="0" fontId="28" fillId="4" borderId="33" xfId="1148">
      <alignment horizontal="left" vertical="center"/>
      <protection locked="0"/>
    </xf>
    <xf numFmtId="0" fontId="28" fillId="7" borderId="33" xfId="1149">
      <alignment horizontal="left" vertical="center"/>
      <protection locked="0"/>
    </xf>
    <xf numFmtId="49" fontId="24" fillId="0" borderId="12" xfId="1150">
      <alignment horizontal="left" vertical="center" wrapText="1"/>
    </xf>
    <xf numFmtId="0" fontId="24" fillId="0" borderId="12" xfId="1151">
      <alignment horizontal="left" vertical="center"/>
    </xf>
    <xf numFmtId="0" fontId="24" fillId="0" borderId="16" xfId="1152">
      <alignment horizontal="left" vertical="center"/>
    </xf>
    <xf numFmtId="0" fontId="28" fillId="10" borderId="25" xfId="1153">
      <alignment horizontal="left" vertical="center"/>
    </xf>
    <xf numFmtId="49" fontId="79" fillId="4" borderId="33" xfId="1154">
      <alignment vertical="top"/>
      <protection locked="0"/>
    </xf>
    <xf numFmtId="49" fontId="8" fillId="0" borderId="33" xfId="1156">
      <alignment vertical="center" wrapText="1"/>
    </xf>
    <xf numFmtId="49" fontId="30" fillId="0" borderId="33" xfId="1158">
      <alignment vertical="center" wrapText="1"/>
    </xf>
    <xf numFmtId="0" fontId="8" fillId="0" borderId="33" xfId="1161">
      <alignment horizontal="left" vertical="center" wrapText="1"/>
    </xf>
    <xf numFmtId="49" fontId="8" fillId="0" borderId="33" xfId="1162">
      <alignment horizontal="left" vertical="center" wrapText="1"/>
    </xf>
    <xf numFmtId="0" fontId="28" fillId="0" borderId="21" xfId="1164">
      <alignment horizontal="left" vertical="center"/>
    </xf>
    <xf numFmtId="0" fontId="28" fillId="10" borderId="24" xfId="1165">
      <alignment horizontal="left" vertical="center"/>
    </xf>
    <xf numFmtId="49" fontId="30" fillId="0" borderId="33" xfId="1169">
      <alignment horizontal="center" vertical="center" wrapText="1"/>
    </xf>
    <xf numFmtId="0" fontId="28" fillId="10" borderId="24" xfId="1170">
      <alignment vertical="center"/>
    </xf>
    <xf numFmtId="49" fontId="36" fillId="10" borderId="12" xfId="1172">
      <alignment vertical="top"/>
    </xf>
    <xf numFmtId="49" fontId="36" fillId="10" borderId="16" xfId="1173">
      <alignment vertical="top"/>
    </xf>
    <xf numFmtId="49" fontId="75" fillId="0" borderId="14" xfId="1174">
      <alignment vertical="top" wrapText="1"/>
    </xf>
    <xf numFmtId="49" fontId="14" fillId="0" borderId="14" xfId="1175">
      <alignment horizontal="center" vertical="top" wrapText="1"/>
    </xf>
    <xf numFmtId="49" fontId="14" fillId="20" borderId="14" xfId="1176">
      <alignment horizontal="center" vertical="top"/>
    </xf>
    <xf numFmtId="49" fontId="14" fillId="0" borderId="14" xfId="1177">
      <alignment vertical="top" wrapText="1"/>
    </xf>
    <xf numFmtId="0" fontId="14" fillId="0" borderId="14" xfId="1178">
      <alignment vertical="top" wrapText="1"/>
    </xf>
    <xf numFmtId="49" fontId="14" fillId="0" borderId="14" xfId="1179">
      <alignment vertical="top"/>
    </xf>
    <xf numFmtId="49" fontId="75" fillId="0" borderId="14" xfId="1180">
      <alignment vertical="top"/>
    </xf>
    <xf numFmtId="0" fontId="75" fillId="0" borderId="14" xfId="1181">
      <alignment vertical="top" wrapText="1"/>
    </xf>
    <xf numFmtId="49" fontId="75" fillId="0" borderId="14" xfId="1182">
      <alignment horizontal="center" vertical="top" wrapText="1"/>
    </xf>
    <xf numFmtId="49" fontId="75" fillId="20" borderId="14" xfId="1183">
      <alignment horizontal="center" vertical="top" wrapText="1"/>
    </xf>
    <xf numFmtId="49" fontId="14" fillId="20" borderId="14" xfId="1184">
      <alignment horizontal="center" vertical="top" wrapText="1"/>
    </xf>
    <xf numFmtId="49" fontId="75" fillId="0" borderId="14" xfId="1185">
      <alignment horizontal="left" vertical="top" wrapText="1"/>
    </xf>
    <xf numFmtId="0" fontId="14" fillId="20" borderId="14" xfId="1186">
      <alignment horizontal="center" vertical="top" wrapText="1"/>
    </xf>
    <xf numFmtId="0" fontId="75" fillId="20" borderId="14" xfId="1187">
      <alignment horizontal="right" vertical="center" wrapText="1"/>
    </xf>
    <xf numFmtId="0" fontId="75" fillId="0" borderId="14" xfId="1191">
      <alignment horizontal="left" vertical="top" wrapText="1"/>
    </xf>
    <xf numFmtId="49" fontId="75" fillId="20" borderId="14" xfId="1192">
      <alignment horizontal="left" vertical="top" wrapText="1"/>
    </xf>
    <xf numFmtId="0" fontId="75" fillId="20" borderId="14" xfId="1193">
      <alignment horizontal="center" vertical="center" wrapText="1"/>
    </xf>
    <xf numFmtId="49" fontId="75" fillId="0" borderId="23" xfId="1194">
      <alignment horizontal="center" vertical="top" wrapText="1"/>
    </xf>
    <xf numFmtId="0" fontId="75" fillId="0" borderId="23" xfId="1196">
      <alignment horizontal="left" vertical="top" wrapText="1"/>
    </xf>
    <xf numFmtId="49" fontId="75" fillId="0" borderId="24" xfId="1197">
      <alignment horizontal="center" vertical="top" wrapText="1"/>
    </xf>
    <xf numFmtId="0" fontId="75" fillId="0" borderId="11" xfId="1198">
      <alignment horizontal="left" vertical="top" wrapText="1"/>
    </xf>
    <xf numFmtId="49" fontId="75" fillId="0" borderId="19" xfId="1201">
      <alignment horizontal="center" vertical="top" wrapText="1"/>
    </xf>
    <xf numFmtId="0" fontId="75" fillId="0" borderId="23" xfId="1202">
      <alignment vertical="top" wrapText="1"/>
    </xf>
    <xf numFmtId="49" fontId="14" fillId="0" borderId="14" xfId="1203">
      <alignment horizontal="left" vertical="top" wrapText="1"/>
    </xf>
    <xf numFmtId="0" fontId="14" fillId="0" borderId="12" xfId="1204">
      <alignment horizontal="center" vertical="center" wrapText="1"/>
    </xf>
    <xf numFmtId="0" fontId="14" fillId="0" borderId="12" xfId="1205">
      <alignment horizontal="center" vertical="center"/>
    </xf>
    <xf numFmtId="49" fontId="14" fillId="0" borderId="14" xfId="1206">
      <alignment horizontal="center" vertical="center" wrapText="1"/>
    </xf>
    <xf numFmtId="0" fontId="14" fillId="0" borderId="14" xfId="1207">
      <alignment vertical="center" wrapText="1"/>
    </xf>
    <xf numFmtId="49" fontId="75" fillId="0" borderId="12" xfId="1208">
      <alignment horizontal="left" vertical="top" wrapText="1"/>
    </xf>
    <xf numFmtId="0" fontId="14" fillId="0" borderId="14" xfId="1209">
      <alignment horizontal="center" vertical="center" wrapText="1"/>
    </xf>
    <xf numFmtId="0" fontId="14" fillId="0" borderId="23" xfId="1210">
      <alignment vertical="center" wrapText="1"/>
    </xf>
    <xf numFmtId="0" fontId="14" fillId="0" borderId="21" xfId="1211">
      <alignment vertical="center" wrapText="1"/>
    </xf>
    <xf numFmtId="49" fontId="75" fillId="0" borderId="26" xfId="1212">
      <alignment horizontal="left" vertical="top" wrapText="1"/>
    </xf>
    <xf numFmtId="49" fontId="75" fillId="0" borderId="11" xfId="1213">
      <alignment horizontal="left" vertical="top" wrapText="1"/>
    </xf>
    <xf numFmtId="49" fontId="14" fillId="0" borderId="23" xfId="1214">
      <alignment horizontal="center" vertical="center" wrapText="1"/>
    </xf>
    <xf numFmtId="49" fontId="14" fillId="0" borderId="21" xfId="1215">
      <alignment horizontal="center" vertical="center" wrapText="1"/>
    </xf>
    <xf numFmtId="0" fontId="14" fillId="0" borderId="23" xfId="1216">
      <alignment horizontal="center" vertical="center" wrapText="1"/>
    </xf>
    <xf numFmtId="49" fontId="75" fillId="0" borderId="33" xfId="1217">
      <alignment horizontal="left" vertical="top" wrapText="1"/>
    </xf>
    <xf numFmtId="0" fontId="75" fillId="0" borderId="33" xfId="1218">
      <alignment horizontal="left" vertical="top" wrapText="1"/>
    </xf>
    <xf numFmtId="49" fontId="53" fillId="10" borderId="12" xfId="1222">
      <alignment horizontal="left" vertical="center"/>
    </xf>
    <xf numFmtId="49" fontId="76" fillId="10" borderId="16" xfId="1223">
      <alignment horizontal="left" vertical="center" indent="3"/>
    </xf>
    <xf numFmtId="49" fontId="35" fillId="10" borderId="16" xfId="1224">
      <alignment horizontal="center" vertical="center" wrapText="1"/>
    </xf>
    <xf numFmtId="49" fontId="36" fillId="10" borderId="16" xfId="1225">
      <alignment horizontal="center" vertical="center" wrapText="1"/>
    </xf>
    <xf numFmtId="49" fontId="36" fillId="10" borderId="11" xfId="1226">
      <alignment horizontal="center" vertical="center" wrapText="1"/>
    </xf>
    <xf numFmtId="49" fontId="76" fillId="10" borderId="16" xfId="1227">
      <alignment horizontal="left" vertical="center" indent="2"/>
    </xf>
    <xf numFmtId="49" fontId="76" fillId="10" borderId="16" xfId="1228">
      <alignment horizontal="left" vertical="center" indent="1"/>
    </xf>
    <xf numFmtId="49" fontId="36" fillId="10" borderId="12" xfId="1229">
      <alignment horizontal="left" vertical="top"/>
    </xf>
    <xf numFmtId="49" fontId="76" fillId="10" borderId="16" xfId="1230">
      <alignment horizontal="left" vertical="center"/>
    </xf>
    <xf numFmtId="49" fontId="79" fillId="0" borderId="12" xfId="1232">
      <alignment horizontal="center" vertical="top"/>
    </xf>
    <xf numFmtId="49" fontId="79" fillId="24" borderId="23" xfId="1233">
      <alignment vertical="top"/>
    </xf>
    <xf numFmtId="49" fontId="79" fillId="25" borderId="14" xfId="1234">
      <alignment vertical="top"/>
    </xf>
    <xf numFmtId="49" fontId="79" fillId="0" borderId="16" xfId="1235">
      <alignment horizontal="center" vertical="top"/>
    </xf>
    <xf numFmtId="49" fontId="79" fillId="26" borderId="14" xfId="1236">
      <alignment vertical="top"/>
    </xf>
    <xf numFmtId="49" fontId="79" fillId="27" borderId="14" xfId="1237">
      <alignment vertical="top"/>
    </xf>
    <xf numFmtId="49" fontId="79" fillId="28" borderId="23" xfId="1238">
      <alignment vertical="top"/>
    </xf>
    <xf numFmtId="49" fontId="79" fillId="29" borderId="12" xfId="1239">
      <alignment vertical="top"/>
    </xf>
    <xf numFmtId="49" fontId="79" fillId="29" borderId="14" xfId="1240">
      <alignment vertical="top"/>
    </xf>
    <xf numFmtId="49" fontId="79" fillId="28" borderId="14" xfId="1241">
      <alignment vertical="top"/>
    </xf>
    <xf numFmtId="49" fontId="79" fillId="8" borderId="0" xfId="1242">
      <alignment vertical="top"/>
    </xf>
    <xf numFmtId="0" fontId="79" fillId="0" borderId="0" xfId="1243"/>
    <xf numFmtId="49" fontId="8" fillId="6" borderId="51" xfId="1244">
      <alignment horizontal="center" vertical="top"/>
    </xf>
    <xf numFmtId="49" fontId="77" fillId="0" borderId="15" xfId="1245">
      <alignment vertical="top" wrapText="1"/>
    </xf>
    <xf numFmtId="0" fontId="79" fillId="0" borderId="15" xfId="1246">
      <alignment vertical="top" wrapText="1"/>
    </xf>
    <xf numFmtId="0" fontId="3" fillId="0" borderId="65" xfId="1247">
      <alignment vertical="top" wrapText="1"/>
    </xf>
    <xf numFmtId="0" fontId="79" fillId="0" borderId="14" xfId="1248">
      <alignment vertical="top" wrapText="1"/>
    </xf>
    <xf numFmtId="49" fontId="79" fillId="0" borderId="23" xfId="1249">
      <alignment vertical="top"/>
    </xf>
    <xf numFmtId="0" fontId="12" fillId="0" borderId="15" xfId="1250">
      <alignment vertical="center" wrapText="1"/>
    </xf>
    <xf numFmtId="0" fontId="3" fillId="0" borderId="0" xfId="1251">
      <alignment vertical="top" wrapText="1"/>
    </xf>
    <xf numFmtId="0" fontId="8" fillId="0" borderId="15" xfId="1252">
      <alignment vertical="center" wrapText="1"/>
    </xf>
    <xf numFmtId="49" fontId="78" fillId="7" borderId="14" xfId="60" applyFont="1">
      <alignment horizontal="left" vertical="center" wrapText="1" indent="1"/>
      <protection locked="0"/>
    </xf>
    <xf numFmtId="0" fontId="3" fillId="3" borderId="6" xfId="19">
      <alignment horizontal="right" vertical="center" wrapText="1" indent="1"/>
    </xf>
    <xf numFmtId="0" fontId="3" fillId="3" borderId="8" xfId="20">
      <alignment horizontal="right" vertical="center" wrapText="1" indent="1"/>
    </xf>
    <xf numFmtId="0" fontId="3" fillId="3" borderId="4" xfId="7">
      <alignment horizontal="right" vertical="center" wrapText="1" indent="1"/>
    </xf>
    <xf numFmtId="0" fontId="3" fillId="3" borderId="0" xfId="16">
      <alignment horizontal="right" vertical="center" wrapText="1" indent="1"/>
    </xf>
    <xf numFmtId="0" fontId="5" fillId="0" borderId="0" xfId="22">
      <alignment vertical="center" wrapText="1"/>
    </xf>
    <xf numFmtId="49" fontId="0" fillId="0" borderId="0" xfId="0">
      <alignment vertical="top"/>
    </xf>
    <xf numFmtId="0" fontId="3" fillId="3" borderId="5" xfId="8">
      <alignment horizontal="right" vertical="center" wrapText="1" indent="1"/>
    </xf>
    <xf numFmtId="0" fontId="3" fillId="3" borderId="9" xfId="24">
      <alignment horizontal="right" vertical="center" wrapText="1" indent="1"/>
    </xf>
    <xf numFmtId="0" fontId="3" fillId="3" borderId="10" xfId="25">
      <alignment horizontal="right" vertical="center" wrapText="1" indent="1"/>
    </xf>
    <xf numFmtId="0" fontId="5" fillId="0" borderId="0" xfId="23">
      <alignment vertical="top" wrapText="1"/>
    </xf>
    <xf numFmtId="0" fontId="2" fillId="0" borderId="0" xfId="2">
      <alignment vertical="center" wrapText="1"/>
    </xf>
    <xf numFmtId="0" fontId="2" fillId="0" borderId="0" xfId="3">
      <alignment vertical="center"/>
    </xf>
    <xf numFmtId="0" fontId="3" fillId="2" borderId="1" xfId="4">
      <alignment horizontal="center" vertical="center" wrapText="1"/>
    </xf>
    <xf numFmtId="0" fontId="3" fillId="2" borderId="2" xfId="5">
      <alignment horizontal="center" vertical="center" wrapText="1"/>
    </xf>
    <xf numFmtId="0" fontId="3" fillId="2" borderId="3" xfId="6">
      <alignment horizontal="center" vertical="center" wrapText="1"/>
    </xf>
    <xf numFmtId="0" fontId="5" fillId="0" borderId="4" xfId="11">
      <alignment vertical="center" wrapText="1"/>
    </xf>
    <xf numFmtId="0" fontId="5" fillId="0" borderId="4" xfId="13">
      <alignment horizontal="left" vertical="center" wrapText="1"/>
    </xf>
    <xf numFmtId="0" fontId="8" fillId="0" borderId="11" xfId="37">
      <alignment horizontal="center" vertical="center" wrapText="1"/>
    </xf>
    <xf numFmtId="0" fontId="8" fillId="0" borderId="12" xfId="38">
      <alignment horizontal="center" vertical="center" wrapText="1"/>
    </xf>
    <xf numFmtId="0" fontId="19" fillId="0" borderId="0" xfId="63">
      <alignment horizontal="left" vertical="center" wrapText="1"/>
    </xf>
    <xf numFmtId="14" fontId="16" fillId="0" borderId="14" xfId="51">
      <alignment horizontal="center" vertical="center" wrapText="1"/>
    </xf>
    <xf numFmtId="0" fontId="8" fillId="0" borderId="0" xfId="65">
      <alignment horizontal="center" vertical="center" wrapText="1"/>
    </xf>
    <xf numFmtId="0" fontId="8" fillId="0" borderId="16" xfId="96">
      <alignment horizontal="left" vertical="center" wrapText="1" indent="1"/>
    </xf>
    <xf numFmtId="0" fontId="8" fillId="0" borderId="16" xfId="97">
      <alignment horizontal="center" vertical="center" wrapText="1"/>
    </xf>
    <xf numFmtId="4" fontId="8" fillId="0" borderId="14" xfId="98">
      <alignment horizontal="center" vertical="center" wrapText="1"/>
    </xf>
    <xf numFmtId="49" fontId="27" fillId="0" borderId="29" xfId="147">
      <alignment horizontal="center" vertical="center" wrapText="1"/>
    </xf>
    <xf numFmtId="49" fontId="27" fillId="0" borderId="30" xfId="148">
      <alignment horizontal="center" vertical="center" wrapText="1"/>
    </xf>
    <xf numFmtId="49" fontId="27" fillId="0" borderId="12" xfId="149">
      <alignment horizontal="center" vertical="center" wrapText="1"/>
    </xf>
    <xf numFmtId="49" fontId="27" fillId="0" borderId="11" xfId="150">
      <alignment horizontal="center" vertical="center" wrapText="1"/>
    </xf>
    <xf numFmtId="0" fontId="8" fillId="0" borderId="18" xfId="131">
      <alignment horizontal="left" vertical="center" wrapText="1" indent="1"/>
    </xf>
    <xf numFmtId="0" fontId="8" fillId="0" borderId="23" xfId="132">
      <alignment horizontal="left" vertical="center" wrapText="1" indent="1"/>
    </xf>
    <xf numFmtId="0" fontId="8" fillId="0" borderId="24" xfId="133">
      <alignment horizontal="left" vertical="center" wrapText="1" indent="1"/>
    </xf>
    <xf numFmtId="0" fontId="8" fillId="0" borderId="25" xfId="134">
      <alignment horizontal="left" vertical="center" indent="1"/>
    </xf>
    <xf numFmtId="0" fontId="8" fillId="0" borderId="21" xfId="135">
      <alignment horizontal="left" vertical="center" indent="1"/>
    </xf>
    <xf numFmtId="0" fontId="8" fillId="0" borderId="26" xfId="136">
      <alignment horizontal="left" vertical="center" indent="1"/>
    </xf>
    <xf numFmtId="0" fontId="8" fillId="11" borderId="0" xfId="139">
      <alignment horizontal="center" vertical="center" wrapText="1"/>
    </xf>
    <xf numFmtId="0" fontId="8" fillId="0" borderId="14" xfId="107">
      <alignment horizontal="center" vertical="center" wrapText="1"/>
    </xf>
    <xf numFmtId="0" fontId="33" fillId="0" borderId="24" xfId="140">
      <alignment horizontal="center" vertical="center" wrapText="1"/>
    </xf>
    <xf numFmtId="0" fontId="33" fillId="0" borderId="17" xfId="141">
      <alignment horizontal="center" vertical="center" wrapText="1"/>
    </xf>
    <xf numFmtId="0" fontId="79" fillId="0" borderId="0" xfId="138">
      <alignment horizontal="left" vertical="center" wrapText="1" indent="2"/>
    </xf>
    <xf numFmtId="0" fontId="33" fillId="0" borderId="14" xfId="142">
      <alignment horizontal="center" vertical="center" wrapText="1"/>
    </xf>
    <xf numFmtId="0" fontId="8" fillId="0" borderId="27" xfId="143">
      <alignment horizontal="center" vertical="center" wrapText="1"/>
    </xf>
    <xf numFmtId="0" fontId="8" fillId="0" borderId="28" xfId="144">
      <alignment horizontal="center" vertical="center" wrapText="1"/>
    </xf>
    <xf numFmtId="0" fontId="8" fillId="9" borderId="23" xfId="161">
      <alignment horizontal="left" vertical="center" wrapText="1" indent="1"/>
    </xf>
    <xf numFmtId="0" fontId="8" fillId="9" borderId="21" xfId="168">
      <alignment horizontal="left" vertical="center" wrapText="1" indent="1"/>
    </xf>
    <xf numFmtId="49" fontId="8" fillId="9" borderId="14" xfId="162">
      <alignment horizontal="center" vertical="center" wrapText="1"/>
    </xf>
    <xf numFmtId="49" fontId="8" fillId="0" borderId="14" xfId="156">
      <alignment horizontal="center" vertical="center" wrapText="1"/>
    </xf>
    <xf numFmtId="0" fontId="8" fillId="9" borderId="23" xfId="157">
      <alignment horizontal="left" vertical="center" wrapText="1" indent="2"/>
    </xf>
    <xf numFmtId="0" fontId="8" fillId="9" borderId="33" xfId="167">
      <alignment horizontal="left" vertical="center" wrapText="1" indent="2"/>
    </xf>
    <xf numFmtId="0" fontId="8" fillId="9" borderId="21" xfId="170">
      <alignment horizontal="left" vertical="center" wrapText="1" indent="2"/>
    </xf>
    <xf numFmtId="49" fontId="8" fillId="9" borderId="21" xfId="158">
      <alignment horizontal="center" vertical="center" wrapText="1"/>
    </xf>
    <xf numFmtId="14" fontId="34" fillId="0" borderId="32" xfId="159">
      <alignment horizontal="center" vertical="center" wrapText="1"/>
    </xf>
    <xf numFmtId="0" fontId="8" fillId="0" borderId="32" xfId="160">
      <alignment horizontal="center" vertical="center" wrapText="1"/>
    </xf>
    <xf numFmtId="49" fontId="79" fillId="0" borderId="17" xfId="199">
      <alignment horizontal="left" vertical="center" wrapText="1"/>
    </xf>
    <xf numFmtId="49" fontId="8" fillId="0" borderId="17" xfId="197">
      <alignment horizontal="center" vertical="center" wrapText="1"/>
    </xf>
    <xf numFmtId="0" fontId="8" fillId="0" borderId="14" xfId="192">
      <alignment horizontal="left" vertical="top" wrapText="1"/>
    </xf>
    <xf numFmtId="49" fontId="79" fillId="0" borderId="14" xfId="206">
      <alignment horizontal="left" vertical="top"/>
    </xf>
    <xf numFmtId="0" fontId="79" fillId="0" borderId="24" xfId="194">
      <alignment horizontal="center" vertical="center"/>
    </xf>
    <xf numFmtId="0" fontId="79" fillId="0" borderId="19" xfId="203">
      <alignment horizontal="center" vertical="center"/>
    </xf>
    <xf numFmtId="0" fontId="79" fillId="0" borderId="17" xfId="195">
      <alignment horizontal="center" vertical="center"/>
    </xf>
    <xf numFmtId="49" fontId="8" fillId="0" borderId="17" xfId="196">
      <alignment horizontal="left" vertical="center" wrapText="1"/>
    </xf>
    <xf numFmtId="0" fontId="79" fillId="0" borderId="17" xfId="198">
      <alignment horizontal="left" vertical="center" wrapText="1"/>
    </xf>
    <xf numFmtId="0" fontId="79" fillId="0" borderId="14" xfId="191">
      <alignment horizontal="center" vertical="top"/>
    </xf>
    <xf numFmtId="49" fontId="79" fillId="0" borderId="14" xfId="205">
      <alignment vertical="top"/>
    </xf>
    <xf numFmtId="0" fontId="8" fillId="9" borderId="23" xfId="193">
      <alignment horizontal="center" vertical="top" wrapText="1"/>
    </xf>
    <xf numFmtId="0" fontId="8" fillId="9" borderId="33" xfId="202">
      <alignment horizontal="center" vertical="top" wrapText="1"/>
    </xf>
    <xf numFmtId="0" fontId="8" fillId="9" borderId="21" xfId="207">
      <alignment horizontal="center" vertical="top" wrapText="1"/>
    </xf>
    <xf numFmtId="0" fontId="79" fillId="0" borderId="0" xfId="222" quotePrefix="1">
      <alignment horizontal="left" vertical="top" wrapText="1" indent="1"/>
    </xf>
    <xf numFmtId="0" fontId="79" fillId="0" borderId="0" xfId="221">
      <alignment horizontal="left" vertical="top" wrapText="1"/>
    </xf>
    <xf numFmtId="0" fontId="79" fillId="0" borderId="23" xfId="215">
      <alignment horizontal="center" vertical="top"/>
    </xf>
    <xf numFmtId="0" fontId="79" fillId="0" borderId="33" xfId="217">
      <alignment horizontal="center" vertical="top"/>
    </xf>
    <xf numFmtId="0" fontId="79" fillId="0" borderId="21" xfId="219">
      <alignment horizontal="center" vertical="top"/>
    </xf>
    <xf numFmtId="0" fontId="8" fillId="0" borderId="23" xfId="216">
      <alignment horizontal="left" vertical="top" wrapText="1"/>
    </xf>
    <xf numFmtId="0" fontId="8" fillId="0" borderId="33" xfId="218">
      <alignment horizontal="left" vertical="top" wrapText="1"/>
    </xf>
    <xf numFmtId="0" fontId="8" fillId="0" borderId="21" xfId="220">
      <alignment horizontal="left" vertical="top" wrapText="1"/>
    </xf>
    <xf numFmtId="0" fontId="8" fillId="7" borderId="14" xfId="212">
      <alignment horizontal="left" vertical="top" wrapText="1"/>
      <protection locked="0"/>
    </xf>
    <xf numFmtId="0" fontId="79" fillId="7" borderId="14" xfId="214">
      <alignment horizontal="left" vertical="top"/>
      <protection locked="0"/>
    </xf>
    <xf numFmtId="49" fontId="24" fillId="8" borderId="36" xfId="186">
      <alignment horizontal="center" vertical="center" wrapText="1"/>
    </xf>
    <xf numFmtId="0" fontId="8" fillId="0" borderId="18" xfId="176">
      <alignment horizontal="left" vertical="top" wrapText="1" indent="1"/>
    </xf>
    <xf numFmtId="0" fontId="8" fillId="0" borderId="23" xfId="177">
      <alignment horizontal="left" vertical="top" wrapText="1" indent="1"/>
    </xf>
    <xf numFmtId="0" fontId="8" fillId="0" borderId="24" xfId="178">
      <alignment horizontal="left" vertical="top" wrapText="1" indent="1"/>
    </xf>
    <xf numFmtId="0" fontId="35" fillId="0" borderId="20" xfId="180">
      <alignment horizontal="left" vertical="center" wrapText="1" indent="1"/>
    </xf>
    <xf numFmtId="0" fontId="35" fillId="0" borderId="33" xfId="181">
      <alignment horizontal="left" vertical="center" wrapText="1" indent="1"/>
    </xf>
    <xf numFmtId="0" fontId="35" fillId="0" borderId="19" xfId="182">
      <alignment horizontal="left" vertical="center" wrapText="1" indent="1"/>
    </xf>
    <xf numFmtId="0" fontId="8" fillId="0" borderId="36" xfId="179">
      <alignment horizontal="left" vertical="center" indent="1"/>
    </xf>
    <xf numFmtId="0" fontId="79" fillId="0" borderId="14" xfId="184">
      <alignment horizontal="center" vertical="center" wrapText="1"/>
    </xf>
    <xf numFmtId="0" fontId="8" fillId="0" borderId="17" xfId="226">
      <alignment horizontal="left" vertical="center" wrapText="1" indent="1"/>
    </xf>
    <xf numFmtId="0" fontId="8" fillId="0" borderId="23" xfId="231">
      <alignment horizontal="center" vertical="center" wrapText="1"/>
    </xf>
    <xf numFmtId="0" fontId="8" fillId="0" borderId="24" xfId="228">
      <alignment horizontal="center" vertical="center" wrapText="1"/>
    </xf>
    <xf numFmtId="0" fontId="8" fillId="0" borderId="18" xfId="229">
      <alignment horizontal="center" vertical="center" wrapText="1"/>
    </xf>
    <xf numFmtId="0" fontId="8" fillId="0" borderId="19" xfId="232">
      <alignment horizontal="center" vertical="center" wrapText="1"/>
    </xf>
    <xf numFmtId="0" fontId="8" fillId="0" borderId="20" xfId="233">
      <alignment horizontal="center" vertical="center" wrapText="1"/>
    </xf>
    <xf numFmtId="0" fontId="8" fillId="0" borderId="33" xfId="230">
      <alignment horizontal="center" vertical="center" wrapText="1"/>
    </xf>
    <xf numFmtId="0" fontId="8" fillId="0" borderId="26" xfId="234">
      <alignment horizontal="center" vertical="center" wrapText="1"/>
    </xf>
    <xf numFmtId="0" fontId="8" fillId="0" borderId="25" xfId="235">
      <alignment horizontal="center" vertical="center" wrapText="1"/>
    </xf>
    <xf numFmtId="49" fontId="8" fillId="0" borderId="14" xfId="237">
      <alignment horizontal="center" vertical="center"/>
    </xf>
    <xf numFmtId="49" fontId="8" fillId="0" borderId="23" xfId="248">
      <alignment horizontal="center" vertical="center"/>
    </xf>
    <xf numFmtId="0" fontId="8" fillId="0" borderId="14" xfId="238">
      <alignment horizontal="left" vertical="center" wrapText="1"/>
    </xf>
    <xf numFmtId="0" fontId="8" fillId="0" borderId="23" xfId="249">
      <alignment horizontal="left" vertical="center" wrapText="1"/>
    </xf>
    <xf numFmtId="0" fontId="8" fillId="0" borderId="24" xfId="250">
      <alignment horizontal="left" vertical="center" wrapText="1"/>
    </xf>
    <xf numFmtId="49" fontId="8" fillId="9" borderId="23" xfId="239">
      <alignment horizontal="center" vertical="center" wrapText="1"/>
    </xf>
    <xf numFmtId="49" fontId="8" fillId="9" borderId="33" xfId="245">
      <alignment horizontal="center" vertical="center" wrapText="1"/>
    </xf>
    <xf numFmtId="0" fontId="8" fillId="0" borderId="17" xfId="241">
      <alignment horizontal="center" vertical="center"/>
    </xf>
    <xf numFmtId="0" fontId="28" fillId="0" borderId="36" xfId="209">
      <alignment horizontal="left" vertical="center"/>
    </xf>
    <xf numFmtId="0" fontId="28" fillId="0" borderId="25" xfId="211">
      <alignment horizontal="left" vertical="center"/>
    </xf>
    <xf numFmtId="0" fontId="28" fillId="0" borderId="20" xfId="204">
      <alignment horizontal="left" vertical="center"/>
    </xf>
    <xf numFmtId="0" fontId="8" fillId="0" borderId="12" xfId="254">
      <alignment horizontal="left" vertical="center" wrapText="1"/>
    </xf>
    <xf numFmtId="0" fontId="8" fillId="0" borderId="36" xfId="227">
      <alignment horizontal="left" vertical="center" wrapText="1" indent="1"/>
    </xf>
    <xf numFmtId="49" fontId="8" fillId="8" borderId="0" xfId="278">
      <alignment horizontal="center" vertical="center" wrapText="1"/>
    </xf>
    <xf numFmtId="49" fontId="79" fillId="8" borderId="14" xfId="263">
      <alignment horizontal="center" vertical="center" wrapText="1"/>
    </xf>
    <xf numFmtId="49" fontId="8" fillId="8" borderId="14" xfId="264">
      <alignment horizontal="center" vertical="center" wrapText="1"/>
    </xf>
    <xf numFmtId="0" fontId="29" fillId="0" borderId="0" xfId="312">
      <alignment horizontal="left" vertical="top" wrapText="1" indent="1"/>
    </xf>
    <xf numFmtId="0" fontId="16" fillId="8" borderId="0" xfId="262">
      <alignment horizontal="left" vertical="center" wrapText="1"/>
    </xf>
    <xf numFmtId="0" fontId="79" fillId="8" borderId="14" xfId="265">
      <alignment horizontal="center" vertical="center" wrapText="1"/>
    </xf>
    <xf numFmtId="0" fontId="8" fillId="8" borderId="14" xfId="266">
      <alignment horizontal="center" vertical="center" wrapText="1"/>
    </xf>
    <xf numFmtId="0" fontId="8" fillId="8" borderId="23" xfId="296">
      <alignment horizontal="left" vertical="top" wrapText="1"/>
    </xf>
    <xf numFmtId="0" fontId="8" fillId="8" borderId="33" xfId="298">
      <alignment horizontal="left" vertical="top" wrapText="1"/>
    </xf>
    <xf numFmtId="0" fontId="8" fillId="8" borderId="21" xfId="302">
      <alignment horizontal="left" vertical="top" wrapText="1"/>
    </xf>
    <xf numFmtId="0" fontId="8" fillId="8" borderId="20" xfId="279">
      <alignment horizontal="center" vertical="center" wrapText="1"/>
    </xf>
    <xf numFmtId="0" fontId="79" fillId="0" borderId="12" xfId="329">
      <alignment horizontal="center" vertical="center" wrapText="1"/>
    </xf>
    <xf numFmtId="0" fontId="79" fillId="0" borderId="23" xfId="332">
      <alignment horizontal="center" vertical="center" wrapText="1"/>
    </xf>
    <xf numFmtId="0" fontId="79" fillId="0" borderId="21" xfId="335">
      <alignment horizontal="center" vertical="center" wrapText="1"/>
    </xf>
    <xf numFmtId="0" fontId="79" fillId="0" borderId="18" xfId="334">
      <alignment horizontal="center" vertical="center" wrapText="1"/>
    </xf>
    <xf numFmtId="0" fontId="79" fillId="0" borderId="25" xfId="337">
      <alignment horizontal="center" vertical="center" wrapText="1"/>
    </xf>
    <xf numFmtId="0" fontId="79" fillId="0" borderId="24" xfId="333">
      <alignment horizontal="center" vertical="center" wrapText="1"/>
    </xf>
    <xf numFmtId="0" fontId="79" fillId="0" borderId="26" xfId="336">
      <alignment horizontal="center" vertical="center" wrapText="1"/>
    </xf>
    <xf numFmtId="0" fontId="79" fillId="0" borderId="23" xfId="353">
      <alignment horizontal="left" vertical="top" wrapText="1"/>
    </xf>
    <xf numFmtId="0" fontId="79" fillId="0" borderId="21" xfId="359">
      <alignment horizontal="left" vertical="top" wrapText="1"/>
    </xf>
    <xf numFmtId="0" fontId="8" fillId="0" borderId="25" xfId="325">
      <alignment horizontal="left" vertical="center" wrapText="1" indent="1"/>
    </xf>
    <xf numFmtId="0" fontId="8" fillId="0" borderId="21" xfId="326">
      <alignment horizontal="left" vertical="center" wrapText="1" indent="1"/>
    </xf>
    <xf numFmtId="0" fontId="8" fillId="0" borderId="26" xfId="327">
      <alignment horizontal="left" vertical="center" wrapText="1" indent="1"/>
    </xf>
    <xf numFmtId="0" fontId="18" fillId="0" borderId="0" xfId="321">
      <alignment horizontal="center" vertical="center" wrapText="1"/>
    </xf>
    <xf numFmtId="0" fontId="79" fillId="0" borderId="16" xfId="330">
      <alignment horizontal="center" vertical="center" wrapText="1"/>
    </xf>
    <xf numFmtId="0" fontId="79" fillId="0" borderId="11" xfId="331">
      <alignment horizontal="center" vertical="center" wrapText="1"/>
    </xf>
    <xf numFmtId="0" fontId="8" fillId="0" borderId="17" xfId="367">
      <alignment horizontal="left" vertical="top" wrapText="1" indent="1"/>
    </xf>
    <xf numFmtId="49" fontId="79" fillId="0" borderId="24" xfId="360">
      <alignment horizontal="center" vertical="center" wrapText="1"/>
    </xf>
    <xf numFmtId="49" fontId="79" fillId="0" borderId="26" xfId="365">
      <alignment horizontal="center" vertical="center" wrapText="1"/>
    </xf>
    <xf numFmtId="0" fontId="8" fillId="9" borderId="17" xfId="361">
      <alignment horizontal="left" vertical="center" wrapText="1"/>
    </xf>
    <xf numFmtId="0" fontId="8" fillId="9" borderId="36" xfId="366">
      <alignment horizontal="left" vertical="center" wrapText="1"/>
    </xf>
    <xf numFmtId="0" fontId="8" fillId="0" borderId="21" xfId="112">
      <alignment horizontal="center" vertical="center" wrapText="1"/>
    </xf>
    <xf numFmtId="0" fontId="79" fillId="0" borderId="33" xfId="376">
      <alignment horizontal="left" vertical="top" wrapText="1"/>
    </xf>
    <xf numFmtId="0" fontId="8" fillId="9" borderId="12" xfId="346">
      <alignment horizontal="left" vertical="center" wrapText="1"/>
    </xf>
    <xf numFmtId="0" fontId="8" fillId="9" borderId="16" xfId="407">
      <alignment horizontal="left" vertical="center" wrapText="1"/>
    </xf>
    <xf numFmtId="0" fontId="8" fillId="9" borderId="11" xfId="408">
      <alignment horizontal="left" vertical="center" wrapText="1"/>
    </xf>
    <xf numFmtId="0" fontId="79" fillId="8" borderId="14" xfId="442">
      <alignment horizontal="right" vertical="center" wrapText="1" indent="1"/>
    </xf>
    <xf numFmtId="168" fontId="8" fillId="6" borderId="14" xfId="445">
      <alignment horizontal="left" vertical="center" wrapText="1" indent="1"/>
    </xf>
    <xf numFmtId="0" fontId="8" fillId="6" borderId="14" xfId="444">
      <alignment horizontal="left" vertical="center" wrapText="1" indent="1"/>
    </xf>
    <xf numFmtId="0" fontId="8" fillId="6" borderId="12" xfId="393">
      <alignment horizontal="left" vertical="center" wrapText="1"/>
    </xf>
    <xf numFmtId="0" fontId="8" fillId="6" borderId="16" xfId="394">
      <alignment horizontal="left" vertical="center" wrapText="1"/>
    </xf>
    <xf numFmtId="0" fontId="8" fillId="6" borderId="11" xfId="395">
      <alignment horizontal="left" vertical="center" wrapText="1"/>
    </xf>
    <xf numFmtId="49" fontId="18" fillId="0" borderId="14" xfId="437">
      <alignment horizontal="center" vertical="center" wrapText="1"/>
    </xf>
    <xf numFmtId="168" fontId="18" fillId="0" borderId="14" xfId="436">
      <alignment horizontal="center" vertical="center" wrapText="1"/>
    </xf>
    <xf numFmtId="0" fontId="18" fillId="0" borderId="14" xfId="388">
      <alignment horizontal="center" vertical="center"/>
    </xf>
    <xf numFmtId="0" fontId="18" fillId="0" borderId="12" xfId="397">
      <alignment horizontal="center" vertical="center"/>
    </xf>
    <xf numFmtId="0" fontId="18" fillId="0" borderId="14" xfId="403">
      <alignment horizontal="center" vertical="center" wrapText="1"/>
    </xf>
    <xf numFmtId="0" fontId="18" fillId="0" borderId="12" xfId="409">
      <alignment horizontal="center" vertical="center" wrapText="1"/>
    </xf>
    <xf numFmtId="0" fontId="24" fillId="0" borderId="0" xfId="91">
      <alignment horizontal="center" vertical="center" wrapText="1"/>
    </xf>
    <xf numFmtId="168" fontId="79" fillId="7" borderId="14" xfId="416">
      <alignment horizontal="center" vertical="center" wrapText="1"/>
      <protection locked="0"/>
    </xf>
    <xf numFmtId="49" fontId="79" fillId="7" borderId="14" xfId="419">
      <alignment horizontal="center" vertical="center" wrapText="1"/>
      <protection locked="0"/>
    </xf>
    <xf numFmtId="168" fontId="79" fillId="7" borderId="23" xfId="469">
      <alignment horizontal="center" vertical="center" wrapText="1"/>
      <protection locked="0"/>
    </xf>
    <xf numFmtId="49" fontId="79" fillId="7" borderId="21" xfId="471">
      <alignment horizontal="center" vertical="center" wrapText="1"/>
      <protection locked="0"/>
    </xf>
    <xf numFmtId="0" fontId="18" fillId="0" borderId="23" xfId="455">
      <alignment horizontal="center" vertical="center" wrapText="1"/>
    </xf>
    <xf numFmtId="0" fontId="18" fillId="0" borderId="21" xfId="459">
      <alignment horizontal="center" vertical="center" wrapText="1"/>
    </xf>
    <xf numFmtId="0" fontId="45" fillId="8" borderId="17" xfId="467">
      <alignment horizontal="center" vertical="center" wrapText="1"/>
    </xf>
    <xf numFmtId="0" fontId="30" fillId="0" borderId="36" xfId="447">
      <alignment horizontal="center" vertical="center" wrapText="1"/>
    </xf>
    <xf numFmtId="0" fontId="8" fillId="8" borderId="14" xfId="390">
      <alignment horizontal="left" vertical="center" wrapText="1"/>
    </xf>
    <xf numFmtId="0" fontId="79" fillId="8" borderId="12" xfId="449">
      <alignment horizontal="center" vertical="center" wrapText="1"/>
    </xf>
    <xf numFmtId="0" fontId="79" fillId="8" borderId="16" xfId="450">
      <alignment horizontal="center" vertical="center" wrapText="1"/>
    </xf>
    <xf numFmtId="0" fontId="79" fillId="8" borderId="11" xfId="451">
      <alignment horizontal="center" vertical="center" wrapText="1"/>
    </xf>
    <xf numFmtId="0" fontId="8" fillId="8" borderId="23" xfId="452">
      <alignment horizontal="center" vertical="center" wrapText="1"/>
    </xf>
    <xf numFmtId="0" fontId="8" fillId="8" borderId="33" xfId="456">
      <alignment horizontal="center" vertical="center" wrapText="1"/>
    </xf>
    <xf numFmtId="0" fontId="8" fillId="8" borderId="21" xfId="460">
      <alignment horizontal="center" vertical="center" wrapText="1"/>
    </xf>
    <xf numFmtId="49" fontId="28" fillId="10" borderId="23" xfId="453">
      <alignment horizontal="center" vertical="center" textRotation="90" wrapText="1"/>
    </xf>
    <xf numFmtId="49" fontId="28" fillId="10" borderId="33" xfId="457">
      <alignment horizontal="center" vertical="center" textRotation="90" wrapText="1"/>
    </xf>
    <xf numFmtId="49" fontId="28" fillId="10" borderId="21" xfId="461">
      <alignment horizontal="center" vertical="center" textRotation="90" wrapText="1"/>
    </xf>
    <xf numFmtId="0" fontId="29" fillId="0" borderId="23" xfId="417">
      <alignment horizontal="left" vertical="top" wrapText="1"/>
    </xf>
    <xf numFmtId="0" fontId="29" fillId="0" borderId="33" xfId="420">
      <alignment horizontal="left" vertical="top" wrapText="1"/>
    </xf>
    <xf numFmtId="0" fontId="29" fillId="0" borderId="21" xfId="424">
      <alignment horizontal="left" vertical="top" wrapText="1"/>
    </xf>
    <xf numFmtId="0" fontId="8" fillId="0" borderId="14" xfId="475">
      <alignment horizontal="center" vertical="center"/>
    </xf>
    <xf numFmtId="0" fontId="8" fillId="0" borderId="12" xfId="476">
      <alignment horizontal="center" vertical="center"/>
    </xf>
    <xf numFmtId="0" fontId="24" fillId="0" borderId="23" xfId="482">
      <alignment horizontal="center" vertical="center" wrapText="1"/>
    </xf>
    <xf numFmtId="0" fontId="24" fillId="0" borderId="21" xfId="113">
      <alignment horizontal="center" vertical="center" wrapText="1"/>
    </xf>
    <xf numFmtId="0" fontId="79" fillId="8" borderId="17" xfId="481">
      <alignment horizontal="center" vertical="center" wrapText="1"/>
    </xf>
    <xf numFmtId="0" fontId="24" fillId="0" borderId="12" xfId="485">
      <alignment horizontal="left" vertical="center" wrapText="1"/>
    </xf>
    <xf numFmtId="0" fontId="24" fillId="0" borderId="16" xfId="486">
      <alignment horizontal="left" vertical="center" wrapText="1"/>
    </xf>
    <xf numFmtId="0" fontId="24" fillId="0" borderId="11" xfId="487">
      <alignment horizontal="left" vertical="center" wrapText="1"/>
    </xf>
    <xf numFmtId="0" fontId="8" fillId="9" borderId="14" xfId="503">
      <alignment horizontal="left" vertical="center" wrapText="1"/>
    </xf>
    <xf numFmtId="168" fontId="79" fillId="7" borderId="21" xfId="509">
      <alignment horizontal="center" vertical="center" wrapText="1"/>
      <protection locked="0"/>
    </xf>
    <xf numFmtId="0" fontId="8" fillId="6" borderId="24" xfId="497">
      <alignment horizontal="left" vertical="center" wrapText="1"/>
    </xf>
    <xf numFmtId="0" fontId="8" fillId="6" borderId="17" xfId="498">
      <alignment horizontal="left" vertical="center" wrapText="1"/>
    </xf>
    <xf numFmtId="0" fontId="8" fillId="6" borderId="18" xfId="499">
      <alignment horizontal="left" vertical="center" wrapText="1"/>
    </xf>
    <xf numFmtId="0" fontId="8" fillId="6" borderId="14" xfId="500">
      <alignment horizontal="left" vertical="center" wrapText="1"/>
    </xf>
    <xf numFmtId="0" fontId="24" fillId="0" borderId="14" xfId="270">
      <alignment horizontal="left" vertical="center" wrapText="1"/>
    </xf>
    <xf numFmtId="0" fontId="79" fillId="0" borderId="33" xfId="524">
      <alignment horizontal="center" vertical="center" wrapText="1"/>
    </xf>
    <xf numFmtId="0" fontId="8" fillId="0" borderId="17" xfId="522">
      <alignment horizontal="center" vertical="center" wrapText="1"/>
    </xf>
    <xf numFmtId="0" fontId="8" fillId="0" borderId="36" xfId="523">
      <alignment horizontal="center" vertical="center" wrapText="1"/>
    </xf>
    <xf numFmtId="0" fontId="8" fillId="9" borderId="18" xfId="510">
      <alignment horizontal="left" vertical="center" wrapText="1"/>
    </xf>
    <xf numFmtId="49" fontId="8" fillId="0" borderId="14" xfId="68">
      <alignment horizontal="left" vertical="center" wrapText="1" indent="1"/>
    </xf>
    <xf numFmtId="0" fontId="79" fillId="8" borderId="24" xfId="553">
      <alignment horizontal="center" vertical="center" wrapText="1"/>
    </xf>
    <xf numFmtId="0" fontId="79" fillId="8" borderId="18" xfId="554">
      <alignment horizontal="center" vertical="center" wrapText="1"/>
    </xf>
    <xf numFmtId="0" fontId="79" fillId="8" borderId="19" xfId="556">
      <alignment horizontal="center" vertical="center" wrapText="1"/>
    </xf>
    <xf numFmtId="0" fontId="79" fillId="8" borderId="0" xfId="557">
      <alignment horizontal="center" vertical="center" wrapText="1"/>
    </xf>
    <xf numFmtId="0" fontId="79" fillId="8" borderId="26" xfId="562">
      <alignment horizontal="center" vertical="center" wrapText="1"/>
    </xf>
    <xf numFmtId="0" fontId="79" fillId="8" borderId="36" xfId="563">
      <alignment horizontal="center" vertical="center" wrapText="1"/>
    </xf>
    <xf numFmtId="0" fontId="79" fillId="8" borderId="25" xfId="564">
      <alignment horizontal="center" vertical="center" wrapText="1"/>
    </xf>
    <xf numFmtId="0" fontId="30" fillId="0" borderId="14" xfId="530">
      <alignment horizontal="center" vertical="center" wrapText="1"/>
    </xf>
    <xf numFmtId="49" fontId="8" fillId="7" borderId="23" xfId="529">
      <alignment horizontal="left" vertical="center" wrapText="1" indent="6"/>
      <protection locked="0"/>
    </xf>
    <xf numFmtId="49" fontId="8" fillId="7" borderId="33" xfId="533">
      <alignment horizontal="left" vertical="center" wrapText="1" indent="6"/>
      <protection locked="0"/>
    </xf>
    <xf numFmtId="49" fontId="8" fillId="7" borderId="21" xfId="539">
      <alignment horizontal="left" vertical="center" wrapText="1" indent="6"/>
      <protection locked="0"/>
    </xf>
    <xf numFmtId="0" fontId="8" fillId="8" borderId="23" xfId="494">
      <alignment horizontal="left" vertical="center" wrapText="1"/>
    </xf>
    <xf numFmtId="0" fontId="8" fillId="8" borderId="33" xfId="532">
      <alignment horizontal="left" vertical="center" wrapText="1"/>
    </xf>
    <xf numFmtId="0" fontId="8" fillId="8" borderId="21" xfId="504">
      <alignment horizontal="left" vertical="center" wrapText="1"/>
    </xf>
    <xf numFmtId="0" fontId="24" fillId="0" borderId="20" xfId="528">
      <alignment horizontal="center" vertical="top" wrapText="1"/>
    </xf>
    <xf numFmtId="0" fontId="79" fillId="8" borderId="20" xfId="558">
      <alignment horizontal="center" vertical="center" wrapText="1"/>
    </xf>
    <xf numFmtId="0" fontId="8" fillId="8" borderId="24" xfId="552">
      <alignment horizontal="center" vertical="center" wrapText="1"/>
    </xf>
    <xf numFmtId="0" fontId="8" fillId="8" borderId="19" xfId="555">
      <alignment horizontal="center" vertical="center" wrapText="1"/>
    </xf>
    <xf numFmtId="0" fontId="8" fillId="8" borderId="26" xfId="561">
      <alignment horizontal="center" vertical="center" wrapText="1"/>
    </xf>
    <xf numFmtId="0" fontId="8" fillId="7" borderId="14" xfId="560">
      <alignment horizontal="center" vertical="center" wrapText="1"/>
      <protection locked="0"/>
    </xf>
    <xf numFmtId="0" fontId="8" fillId="6" borderId="14" xfId="559">
      <alignment horizontal="center" vertical="center" wrapText="1"/>
    </xf>
    <xf numFmtId="49" fontId="8" fillId="9" borderId="14" xfId="50">
      <alignment horizontal="left" vertical="center" wrapText="1" indent="1"/>
    </xf>
    <xf numFmtId="0" fontId="8" fillId="4" borderId="12" xfId="569">
      <alignment horizontal="left" vertical="center" wrapText="1"/>
      <protection locked="0"/>
    </xf>
    <xf numFmtId="0" fontId="8" fillId="4" borderId="16" xfId="570">
      <alignment horizontal="left" vertical="center" wrapText="1"/>
      <protection locked="0"/>
    </xf>
    <xf numFmtId="0" fontId="8" fillId="4" borderId="11" xfId="571">
      <alignment horizontal="left" vertical="center" wrapText="1"/>
      <protection locked="0"/>
    </xf>
    <xf numFmtId="49" fontId="8" fillId="4" borderId="12" xfId="572">
      <alignment horizontal="left" vertical="center" wrapText="1"/>
      <protection locked="0"/>
    </xf>
    <xf numFmtId="49" fontId="8" fillId="4" borderId="16" xfId="573">
      <alignment horizontal="left" vertical="center" wrapText="1"/>
      <protection locked="0"/>
    </xf>
    <xf numFmtId="49" fontId="8" fillId="4" borderId="11" xfId="574">
      <alignment horizontal="left" vertical="center" wrapText="1"/>
      <protection locked="0"/>
    </xf>
    <xf numFmtId="0" fontId="29" fillId="0" borderId="14" xfId="577">
      <alignment horizontal="left" vertical="top" wrapText="1"/>
    </xf>
    <xf numFmtId="0" fontId="8" fillId="7" borderId="11" xfId="584">
      <alignment horizontal="center" vertical="center" wrapText="1"/>
      <protection locked="0"/>
    </xf>
    <xf numFmtId="4" fontId="8" fillId="7" borderId="14" xfId="582">
      <alignment horizontal="left" vertical="center" wrapText="1" indent="1"/>
      <protection locked="0"/>
    </xf>
    <xf numFmtId="49" fontId="8" fillId="4" borderId="23" xfId="581">
      <alignment horizontal="left" vertical="center" wrapText="1" indent="6"/>
      <protection locked="0"/>
    </xf>
    <xf numFmtId="49" fontId="8" fillId="4" borderId="33" xfId="590">
      <alignment horizontal="left" vertical="center" wrapText="1" indent="6"/>
      <protection locked="0"/>
    </xf>
    <xf numFmtId="49" fontId="8" fillId="4" borderId="21" xfId="593">
      <alignment horizontal="left" vertical="center" wrapText="1" indent="6"/>
      <protection locked="0"/>
    </xf>
    <xf numFmtId="4" fontId="8" fillId="7" borderId="14" xfId="588">
      <alignment horizontal="center" vertical="center" wrapText="1"/>
      <protection locked="0"/>
    </xf>
    <xf numFmtId="49" fontId="8" fillId="9" borderId="18" xfId="589">
      <alignment horizontal="center" vertical="center" wrapText="1"/>
    </xf>
    <xf numFmtId="49" fontId="8" fillId="9" borderId="25" xfId="591">
      <alignment horizontal="center" vertical="center" wrapText="1"/>
    </xf>
    <xf numFmtId="0" fontId="24" fillId="0" borderId="17" xfId="594">
      <alignment horizontal="left" vertical="center" wrapText="1"/>
    </xf>
    <xf numFmtId="49" fontId="14" fillId="3" borderId="0" xfId="614">
      <alignment horizontal="center" vertical="center" textRotation="90" wrapText="1"/>
    </xf>
    <xf numFmtId="0" fontId="35" fillId="0" borderId="0" xfId="615">
      <alignment horizontal="center" vertical="center" wrapText="1"/>
    </xf>
    <xf numFmtId="0" fontId="8" fillId="0" borderId="16" xfId="607">
      <alignment horizontal="right" vertical="center" wrapText="1" indent="1"/>
    </xf>
    <xf numFmtId="0" fontId="8" fillId="0" borderId="11" xfId="608">
      <alignment horizontal="right" vertical="center" wrapText="1" indent="1"/>
    </xf>
    <xf numFmtId="0" fontId="8" fillId="0" borderId="12" xfId="610">
      <alignment horizontal="right" vertical="center" wrapText="1"/>
    </xf>
    <xf numFmtId="0" fontId="8" fillId="0" borderId="16" xfId="611">
      <alignment horizontal="right" vertical="center" wrapText="1"/>
    </xf>
    <xf numFmtId="49" fontId="24" fillId="0" borderId="23" xfId="659">
      <alignment horizontal="center" vertical="center" wrapText="1"/>
    </xf>
    <xf numFmtId="49" fontId="24" fillId="0" borderId="33" xfId="667">
      <alignment horizontal="center" vertical="center" wrapText="1"/>
    </xf>
    <xf numFmtId="49" fontId="24" fillId="0" borderId="21" xfId="671">
      <alignment horizontal="center" vertical="center" wrapText="1"/>
    </xf>
    <xf numFmtId="0" fontId="79" fillId="6" borderId="14" xfId="43">
      <alignment horizontal="left" vertical="center" wrapText="1" indent="1"/>
    </xf>
    <xf numFmtId="0" fontId="8" fillId="0" borderId="21" xfId="668">
      <alignment horizontal="left" vertical="center" wrapText="1"/>
    </xf>
    <xf numFmtId="0" fontId="79" fillId="0" borderId="12" xfId="660">
      <alignment horizontal="right" vertical="center" wrapText="1" indent="1"/>
    </xf>
    <xf numFmtId="0" fontId="79" fillId="0" borderId="16" xfId="661">
      <alignment horizontal="right" vertical="center" wrapText="1" indent="1"/>
    </xf>
    <xf numFmtId="0" fontId="79" fillId="0" borderId="11" xfId="662">
      <alignment horizontal="right" vertical="center" wrapText="1" indent="1"/>
    </xf>
    <xf numFmtId="0" fontId="8" fillId="8" borderId="12" xfId="697">
      <alignment horizontal="center" vertical="center" wrapText="1"/>
    </xf>
    <xf numFmtId="0" fontId="8" fillId="8" borderId="16" xfId="698">
      <alignment horizontal="center" vertical="center" wrapText="1"/>
    </xf>
    <xf numFmtId="0" fontId="8" fillId="8" borderId="18" xfId="699">
      <alignment horizontal="center" vertical="center" wrapText="1"/>
    </xf>
    <xf numFmtId="0" fontId="8" fillId="8" borderId="14" xfId="700">
      <alignment horizontal="center" vertical="center"/>
    </xf>
    <xf numFmtId="0" fontId="24" fillId="0" borderId="16" xfId="708">
      <alignment horizontal="right" vertical="center" wrapText="1" indent="1"/>
    </xf>
    <xf numFmtId="0" fontId="24" fillId="0" borderId="11" xfId="709">
      <alignment horizontal="right" vertical="center" wrapText="1" indent="1"/>
    </xf>
    <xf numFmtId="0" fontId="8" fillId="0" borderId="0" xfId="715">
      <alignment horizontal="left" vertical="top" wrapText="1"/>
    </xf>
    <xf numFmtId="0" fontId="8" fillId="6" borderId="12" xfId="609">
      <alignment horizontal="left" vertical="top" wrapText="1"/>
    </xf>
    <xf numFmtId="0" fontId="8" fillId="6" borderId="11" xfId="717">
      <alignment horizontal="left" vertical="top" wrapText="1"/>
    </xf>
    <xf numFmtId="49" fontId="8" fillId="15" borderId="0" xfId="718">
      <alignment horizontal="center" vertical="center" textRotation="90" wrapText="1"/>
    </xf>
    <xf numFmtId="0" fontId="27" fillId="0" borderId="20" xfId="750">
      <alignment horizontal="center" vertical="center" wrapText="1"/>
    </xf>
    <xf numFmtId="0" fontId="8" fillId="6" borderId="12" xfId="756">
      <alignment horizontal="left" vertical="top" wrapText="1" indent="1"/>
    </xf>
    <xf numFmtId="0" fontId="8" fillId="6" borderId="11" xfId="757">
      <alignment horizontal="left" vertical="top" wrapText="1" indent="1"/>
    </xf>
    <xf numFmtId="49" fontId="79" fillId="0" borderId="14" xfId="345">
      <alignment horizontal="center" vertical="center" wrapText="1"/>
    </xf>
    <xf numFmtId="49" fontId="8" fillId="0" borderId="12" xfId="766">
      <alignment horizontal="center" vertical="center" wrapText="1"/>
    </xf>
    <xf numFmtId="49" fontId="24" fillId="0" borderId="14" xfId="549">
      <alignment horizontal="center" vertical="center" wrapText="1"/>
    </xf>
    <xf numFmtId="49" fontId="8" fillId="0" borderId="14" xfId="371">
      <alignment horizontal="left" vertical="center" wrapText="1"/>
    </xf>
    <xf numFmtId="0" fontId="79" fillId="0" borderId="14" xfId="765">
      <alignment horizontal="left" vertical="center" wrapText="1" indent="1"/>
    </xf>
    <xf numFmtId="0" fontId="8" fillId="8" borderId="25" xfId="585">
      <alignment horizontal="center" vertical="center" wrapText="1"/>
    </xf>
    <xf numFmtId="0" fontId="8" fillId="0" borderId="6" xfId="771">
      <alignment horizontal="center" vertical="center"/>
    </xf>
    <xf numFmtId="0" fontId="8" fillId="0" borderId="7" xfId="772">
      <alignment horizontal="center" vertical="center"/>
    </xf>
    <xf numFmtId="0" fontId="8" fillId="0" borderId="8" xfId="773">
      <alignment horizontal="center" vertical="center"/>
    </xf>
    <xf numFmtId="0" fontId="8" fillId="0" borderId="47" xfId="777">
      <alignment horizontal="center" vertical="center"/>
    </xf>
    <xf numFmtId="0" fontId="8" fillId="0" borderId="35" xfId="778">
      <alignment horizontal="center" vertical="center"/>
    </xf>
    <xf numFmtId="49" fontId="79" fillId="0" borderId="14" xfId="713">
      <alignment vertical="center" wrapText="1"/>
    </xf>
    <xf numFmtId="49" fontId="79" fillId="0" borderId="14" xfId="282">
      <alignment horizontal="left" vertical="center" wrapText="1"/>
    </xf>
    <xf numFmtId="49" fontId="79" fillId="0" borderId="23" xfId="780">
      <alignment horizontal="center" vertical="center" wrapText="1"/>
    </xf>
    <xf numFmtId="49" fontId="79" fillId="0" borderId="33" xfId="782">
      <alignment horizontal="center" vertical="center" wrapText="1"/>
    </xf>
    <xf numFmtId="49" fontId="79" fillId="0" borderId="21" xfId="784">
      <alignment horizontal="center" vertical="center" wrapText="1"/>
    </xf>
    <xf numFmtId="0" fontId="79" fillId="6" borderId="14" xfId="783">
      <alignment horizontal="center" vertical="center" wrapText="1"/>
    </xf>
    <xf numFmtId="49" fontId="79" fillId="0" borderId="14" xfId="189">
      <alignment horizontal="center" vertical="center"/>
    </xf>
    <xf numFmtId="0" fontId="8" fillId="8" borderId="11" xfId="816">
      <alignment horizontal="center" vertical="center" wrapText="1"/>
    </xf>
    <xf numFmtId="0" fontId="8" fillId="20" borderId="14" xfId="814">
      <alignment horizontal="center" vertical="center" wrapText="1"/>
    </xf>
    <xf numFmtId="0" fontId="8" fillId="20" borderId="12" xfId="815">
      <alignment horizontal="center" vertical="center" wrapText="1"/>
    </xf>
    <xf numFmtId="49" fontId="8" fillId="19" borderId="12" xfId="806">
      <alignment horizontal="center" vertical="center" wrapText="1"/>
    </xf>
    <xf numFmtId="49" fontId="8" fillId="19" borderId="16" xfId="807">
      <alignment horizontal="center" vertical="center" wrapText="1"/>
    </xf>
    <xf numFmtId="49" fontId="8" fillId="20" borderId="17" xfId="808">
      <alignment horizontal="center" vertical="center" wrapText="1"/>
    </xf>
    <xf numFmtId="49" fontId="8" fillId="20" borderId="0" xfId="809">
      <alignment horizontal="center" vertical="center" wrapText="1"/>
    </xf>
    <xf numFmtId="49" fontId="8" fillId="20" borderId="36" xfId="818">
      <alignment horizontal="center" vertical="center" wrapText="1"/>
    </xf>
    <xf numFmtId="0" fontId="8" fillId="20" borderId="11" xfId="817">
      <alignment horizontal="center" vertical="center" wrapText="1"/>
    </xf>
    <xf numFmtId="0" fontId="8" fillId="16" borderId="12" xfId="797">
      <alignment horizontal="center" vertical="center" wrapText="1"/>
    </xf>
    <xf numFmtId="0" fontId="8" fillId="16" borderId="16" xfId="798">
      <alignment horizontal="center" vertical="center" wrapText="1"/>
    </xf>
    <xf numFmtId="0" fontId="8" fillId="16" borderId="11" xfId="799">
      <alignment horizontal="center" vertical="center" wrapText="1"/>
    </xf>
    <xf numFmtId="49" fontId="18" fillId="17" borderId="12" xfId="800">
      <alignment horizontal="center" vertical="center" wrapText="1"/>
    </xf>
    <xf numFmtId="49" fontId="18" fillId="17" borderId="16" xfId="801">
      <alignment horizontal="center" vertical="center" wrapText="1"/>
    </xf>
    <xf numFmtId="49" fontId="18" fillId="17" borderId="11" xfId="802">
      <alignment horizontal="center" vertical="center" wrapText="1"/>
    </xf>
    <xf numFmtId="49" fontId="18" fillId="18" borderId="12" xfId="803">
      <alignment horizontal="center" vertical="center" wrapText="1"/>
    </xf>
    <xf numFmtId="49" fontId="18" fillId="18" borderId="16" xfId="804">
      <alignment horizontal="center" vertical="center" wrapText="1"/>
    </xf>
    <xf numFmtId="49" fontId="18" fillId="18" borderId="11" xfId="805">
      <alignment horizontal="center" vertical="center" wrapText="1"/>
    </xf>
    <xf numFmtId="49" fontId="8" fillId="20" borderId="14" xfId="813">
      <alignment horizontal="center" vertical="center" wrapText="1"/>
    </xf>
    <xf numFmtId="49" fontId="8" fillId="0" borderId="16" xfId="810">
      <alignment horizontal="center" vertical="center" wrapText="1"/>
    </xf>
    <xf numFmtId="49" fontId="8" fillId="0" borderId="11" xfId="811">
      <alignment horizontal="center" vertical="center" wrapText="1"/>
    </xf>
    <xf numFmtId="0" fontId="8" fillId="0" borderId="18" xfId="793">
      <alignment horizontal="left" vertical="top" wrapText="1"/>
    </xf>
    <xf numFmtId="0" fontId="79" fillId="0" borderId="14" xfId="702">
      <alignment horizontal="left" vertical="center" wrapText="1"/>
    </xf>
    <xf numFmtId="0" fontId="47" fillId="8" borderId="20" xfId="856">
      <alignment horizontal="center" vertical="top" wrapText="1"/>
    </xf>
    <xf numFmtId="0" fontId="8" fillId="0" borderId="16" xfId="848">
      <alignment horizontal="left" vertical="top" wrapText="1" indent="1"/>
    </xf>
    <xf numFmtId="0" fontId="47" fillId="8" borderId="0" xfId="853">
      <alignment horizontal="center" vertical="top" wrapText="1"/>
    </xf>
    <xf numFmtId="49" fontId="27" fillId="8" borderId="17" xfId="850">
      <alignment horizontal="center" vertical="center" wrapText="1"/>
    </xf>
    <xf numFmtId="0" fontId="79" fillId="0" borderId="23" xfId="852">
      <alignment horizontal="left" vertical="center" wrapText="1"/>
    </xf>
    <xf numFmtId="0" fontId="79" fillId="6" borderId="12" xfId="854">
      <alignment horizontal="left" vertical="center" wrapText="1" indent="1"/>
    </xf>
    <xf numFmtId="49" fontId="79" fillId="8" borderId="21" xfId="857">
      <alignment horizontal="center" vertical="center" wrapText="1"/>
    </xf>
    <xf numFmtId="0" fontId="79" fillId="6" borderId="21" xfId="858">
      <alignment horizontal="left" vertical="center" wrapText="1" indent="1"/>
    </xf>
    <xf numFmtId="0" fontId="79" fillId="8" borderId="23" xfId="932">
      <alignment horizontal="left" vertical="top" wrapText="1"/>
    </xf>
    <xf numFmtId="0" fontId="79" fillId="8" borderId="33" xfId="935">
      <alignment horizontal="left" vertical="top" wrapText="1"/>
    </xf>
    <xf numFmtId="0" fontId="79" fillId="8" borderId="21" xfId="937">
      <alignment horizontal="left" vertical="top" wrapText="1"/>
    </xf>
    <xf numFmtId="4" fontId="8" fillId="0" borderId="23" xfId="733">
      <alignment horizontal="center" vertical="center" wrapText="1"/>
    </xf>
    <xf numFmtId="4" fontId="8" fillId="0" borderId="21" xfId="946">
      <alignment horizontal="center" vertical="center" wrapText="1"/>
    </xf>
    <xf numFmtId="4" fontId="8" fillId="0" borderId="33" xfId="958">
      <alignment horizontal="center" vertical="center" wrapText="1"/>
    </xf>
    <xf numFmtId="0" fontId="8" fillId="0" borderId="25" xfId="962">
      <alignment horizontal="left" vertical="top" wrapText="1"/>
    </xf>
    <xf numFmtId="169" fontId="8" fillId="0" borderId="23" xfId="945">
      <alignment horizontal="center" vertical="center" wrapText="1"/>
    </xf>
    <xf numFmtId="169" fontId="8" fillId="0" borderId="21" xfId="959">
      <alignment horizontal="center" vertical="center" wrapText="1"/>
    </xf>
    <xf numFmtId="169" fontId="8" fillId="0" borderId="12" xfId="99">
      <alignment horizontal="center" vertical="center" wrapText="1"/>
    </xf>
    <xf numFmtId="169" fontId="8" fillId="0" borderId="16" xfId="956">
      <alignment horizontal="center" vertical="center" wrapText="1"/>
    </xf>
    <xf numFmtId="169" fontId="8" fillId="0" borderId="11" xfId="957">
      <alignment horizontal="center" vertical="center" wrapText="1"/>
    </xf>
    <xf numFmtId="49" fontId="8" fillId="0" borderId="14" xfId="979">
      <alignment horizontal="left" vertical="top" wrapText="1"/>
    </xf>
    <xf numFmtId="49" fontId="67" fillId="0" borderId="14" xfId="981">
      <alignment horizontal="left" vertical="top" wrapText="1"/>
    </xf>
    <xf numFmtId="0" fontId="8" fillId="0" borderId="16" xfId="970">
      <alignment horizontal="left" vertical="center" wrapText="1"/>
    </xf>
    <xf numFmtId="169" fontId="8" fillId="0" borderId="33" xfId="974">
      <alignment horizontal="center" vertical="center" wrapText="1"/>
    </xf>
    <xf numFmtId="169" fontId="8" fillId="0" borderId="14" xfId="100">
      <alignment horizontal="center" vertical="center" wrapText="1"/>
    </xf>
    <xf numFmtId="169" fontId="29" fillId="0" borderId="17" xfId="971">
      <alignment horizontal="center" vertical="center" wrapText="1"/>
    </xf>
    <xf numFmtId="49" fontId="8" fillId="9" borderId="26" xfId="976">
      <alignment horizontal="left" vertical="center" wrapText="1"/>
    </xf>
    <xf numFmtId="49" fontId="8" fillId="9" borderId="21" xfId="980">
      <alignment horizontal="left" vertical="center" wrapText="1"/>
    </xf>
    <xf numFmtId="14" fontId="8" fillId="9" borderId="14" xfId="947">
      <alignment horizontal="left" vertical="center" wrapText="1"/>
    </xf>
    <xf numFmtId="49" fontId="8" fillId="9" borderId="12" xfId="308">
      <alignment horizontal="left" vertical="center" wrapText="1"/>
    </xf>
    <xf numFmtId="49" fontId="8" fillId="9" borderId="14" xfId="306">
      <alignment horizontal="left" vertical="center" wrapText="1"/>
    </xf>
    <xf numFmtId="0" fontId="8" fillId="6" borderId="25" xfId="975">
      <alignment horizontal="left" vertical="center" wrapText="1"/>
    </xf>
    <xf numFmtId="14" fontId="8" fillId="9" borderId="21" xfId="379">
      <alignment horizontal="left" vertical="center" wrapText="1"/>
    </xf>
    <xf numFmtId="49" fontId="8" fillId="0" borderId="0" xfId="984">
      <alignment horizontal="left" vertical="top" wrapText="1"/>
    </xf>
    <xf numFmtId="0" fontId="8" fillId="0" borderId="11" xfId="663">
      <alignment horizontal="left" vertical="center" wrapText="1" indent="1"/>
    </xf>
    <xf numFmtId="0" fontId="8" fillId="0" borderId="12" xfId="636">
      <alignment horizontal="left" vertical="center" wrapText="1" indent="1"/>
    </xf>
    <xf numFmtId="49" fontId="79" fillId="0" borderId="16" xfId="992">
      <alignment horizontal="left" vertical="center" indent="1"/>
    </xf>
    <xf numFmtId="49" fontId="8" fillId="0" borderId="14" xfId="1012">
      <alignment horizontal="center" vertical="top" wrapText="1"/>
    </xf>
    <xf numFmtId="0" fontId="79" fillId="6" borderId="14" xfId="1013">
      <alignment horizontal="left" vertical="top" wrapText="1" indent="1"/>
    </xf>
    <xf numFmtId="49" fontId="8" fillId="9" borderId="23" xfId="1014">
      <alignment horizontal="center" vertical="top" wrapText="1"/>
    </xf>
    <xf numFmtId="49" fontId="8" fillId="9" borderId="21" xfId="1025">
      <alignment horizontal="center" vertical="top" wrapText="1"/>
    </xf>
    <xf numFmtId="168" fontId="79" fillId="7" borderId="14" xfId="1015">
      <alignment horizontal="center" vertical="top" wrapText="1"/>
      <protection locked="0"/>
    </xf>
    <xf numFmtId="49" fontId="79" fillId="7" borderId="14" xfId="1026">
      <alignment horizontal="center" vertical="top" wrapText="1"/>
      <protection locked="0"/>
    </xf>
    <xf numFmtId="168" fontId="79" fillId="4" borderId="14" xfId="1016">
      <alignment horizontal="center" vertical="top" wrapText="1"/>
      <protection locked="0"/>
    </xf>
    <xf numFmtId="49" fontId="79" fillId="4" borderId="14" xfId="1027">
      <alignment horizontal="center" vertical="top" wrapText="1"/>
      <protection locked="0"/>
    </xf>
    <xf numFmtId="49" fontId="8" fillId="9" borderId="14" xfId="1017">
      <alignment horizontal="left" vertical="top" wrapText="1"/>
    </xf>
    <xf numFmtId="49" fontId="18" fillId="0" borderId="23" xfId="1053">
      <alignment horizontal="left" vertical="center" wrapText="1" indent="1"/>
    </xf>
    <xf numFmtId="49" fontId="18" fillId="0" borderId="33" xfId="1058">
      <alignment horizontal="left" vertical="center" wrapText="1" indent="1"/>
    </xf>
    <xf numFmtId="49" fontId="18" fillId="0" borderId="21" xfId="1061">
      <alignment horizontal="left" vertical="center" wrapText="1" indent="1"/>
    </xf>
    <xf numFmtId="49" fontId="18" fillId="0" borderId="14" xfId="110">
      <alignment horizontal="left" vertical="center" wrapText="1"/>
    </xf>
    <xf numFmtId="49" fontId="73" fillId="0" borderId="14" xfId="1074">
      <alignment horizontal="center" vertical="center" wrapText="1"/>
    </xf>
    <xf numFmtId="0" fontId="29" fillId="0" borderId="14" xfId="1075">
      <alignment horizontal="center" vertical="center"/>
    </xf>
    <xf numFmtId="49" fontId="8" fillId="9" borderId="23" xfId="1076">
      <alignment horizontal="left" vertical="center" wrapText="1" indent="1"/>
    </xf>
    <xf numFmtId="49" fontId="8" fillId="9" borderId="33" xfId="1084">
      <alignment horizontal="left" vertical="center" wrapText="1" indent="1"/>
    </xf>
    <xf numFmtId="49" fontId="8" fillId="9" borderId="21" xfId="1088">
      <alignment horizontal="left" vertical="center" wrapText="1" indent="1"/>
    </xf>
    <xf numFmtId="49" fontId="8" fillId="6" borderId="14" xfId="1085">
      <alignment horizontal="left" vertical="center" wrapText="1"/>
    </xf>
    <xf numFmtId="0" fontId="79" fillId="0" borderId="14" xfId="188">
      <alignment horizontal="center" vertical="center"/>
    </xf>
    <xf numFmtId="49" fontId="8" fillId="7" borderId="14" xfId="1018">
      <alignment horizontal="left" vertical="top" wrapText="1"/>
      <protection locked="0"/>
    </xf>
    <xf numFmtId="0" fontId="8" fillId="4" borderId="14" xfId="1021">
      <alignment horizontal="left" vertical="top" wrapText="1"/>
      <protection locked="0"/>
    </xf>
    <xf numFmtId="49" fontId="79" fillId="7" borderId="14" xfId="276">
      <alignment horizontal="left" vertical="center" wrapText="1"/>
      <protection locked="0"/>
    </xf>
    <xf numFmtId="0" fontId="8" fillId="9" borderId="14" xfId="1133">
      <alignment horizontal="left" vertical="top" wrapText="1"/>
    </xf>
    <xf numFmtId="49" fontId="79" fillId="9" borderId="14" xfId="1138">
      <alignment horizontal="left" vertical="top"/>
    </xf>
    <xf numFmtId="49" fontId="8" fillId="0" borderId="23" xfId="163">
      <alignment horizontal="center" vertical="center" wrapText="1"/>
    </xf>
    <xf numFmtId="49" fontId="8" fillId="0" borderId="33" xfId="1112">
      <alignment horizontal="center" vertical="center" wrapText="1"/>
    </xf>
    <xf numFmtId="49" fontId="8" fillId="0" borderId="21" xfId="1114">
      <alignment horizontal="center" vertical="center" wrapText="1"/>
    </xf>
    <xf numFmtId="0" fontId="79" fillId="7" borderId="14" xfId="842">
      <alignment horizontal="left" vertical="center" wrapText="1"/>
      <protection locked="0"/>
    </xf>
    <xf numFmtId="49" fontId="79" fillId="7" borderId="12" xfId="1126">
      <alignment horizontal="left" vertical="center" wrapText="1"/>
      <protection locked="0"/>
    </xf>
    <xf numFmtId="49" fontId="30" fillId="0" borderId="23" xfId="1123">
      <alignment horizontal="center" vertical="top" wrapText="1"/>
    </xf>
    <xf numFmtId="49" fontId="8" fillId="0" borderId="33" xfId="1029">
      <alignment horizontal="center" vertical="top" wrapText="1"/>
    </xf>
    <xf numFmtId="49" fontId="8" fillId="0" borderId="21" xfId="1130">
      <alignment horizontal="center" vertical="top" wrapText="1"/>
    </xf>
    <xf numFmtId="49" fontId="8" fillId="7" borderId="12" xfId="1124">
      <alignment horizontal="left" vertical="center" wrapText="1" indent="1"/>
      <protection locked="0"/>
    </xf>
    <xf numFmtId="49" fontId="8" fillId="7" borderId="14" xfId="60">
      <alignment horizontal="left" vertical="center" wrapText="1" indent="1"/>
      <protection locked="0"/>
    </xf>
    <xf numFmtId="0" fontId="79" fillId="9" borderId="14" xfId="1134">
      <alignment horizontal="left" vertical="center" wrapText="1"/>
    </xf>
    <xf numFmtId="49" fontId="79" fillId="9" borderId="14" xfId="1140">
      <alignment horizontal="left" vertical="center" wrapText="1"/>
    </xf>
    <xf numFmtId="49" fontId="8" fillId="4" borderId="14" xfId="305">
      <alignment horizontal="left" vertical="center" wrapText="1"/>
      <protection locked="0"/>
    </xf>
    <xf numFmtId="49" fontId="79" fillId="4" borderId="14" xfId="1139">
      <alignment horizontal="left" vertical="top"/>
      <protection locked="0"/>
    </xf>
    <xf numFmtId="14" fontId="34" fillId="0" borderId="23" xfId="1000">
      <alignment horizontal="center" vertical="center" wrapText="1"/>
    </xf>
    <xf numFmtId="14" fontId="34" fillId="0" borderId="33" xfId="1004">
      <alignment horizontal="center" vertical="center" wrapText="1"/>
    </xf>
    <xf numFmtId="0" fontId="33" fillId="0" borderId="14" xfId="1001">
      <alignment horizontal="left" vertical="center" wrapText="1" indent="1"/>
    </xf>
    <xf numFmtId="0" fontId="33" fillId="0" borderId="14" xfId="1005">
      <alignment horizontal="left" vertical="top" indent="1"/>
    </xf>
    <xf numFmtId="0" fontId="27" fillId="0" borderId="14" xfId="969">
      <alignment horizontal="center" vertical="center" wrapText="1"/>
    </xf>
    <xf numFmtId="0" fontId="8" fillId="9" borderId="14" xfId="78">
      <alignment horizontal="left" vertical="center" wrapText="1" indent="1"/>
    </xf>
    <xf numFmtId="49" fontId="8" fillId="9" borderId="14" xfId="1022">
      <alignment horizontal="center" vertical="top" wrapText="1"/>
    </xf>
    <xf numFmtId="49" fontId="8" fillId="9" borderId="12" xfId="1028">
      <alignment horizontal="center" vertical="top" wrapText="1"/>
    </xf>
    <xf numFmtId="49" fontId="79" fillId="6" borderId="14" xfId="1019">
      <alignment horizontal="center" vertical="top" wrapText="1"/>
    </xf>
    <xf numFmtId="0" fontId="8" fillId="6" borderId="14" xfId="1020">
      <alignment horizontal="center" vertical="top" wrapText="1"/>
    </xf>
    <xf numFmtId="49" fontId="18" fillId="0" borderId="12" xfId="1047">
      <alignment horizontal="center" vertical="center" wrapText="1"/>
    </xf>
    <xf numFmtId="49" fontId="28" fillId="10" borderId="61" xfId="1067">
      <alignment horizontal="left" vertical="center" indent="1"/>
    </xf>
    <xf numFmtId="49" fontId="8" fillId="6" borderId="14" xfId="998">
      <alignment horizontal="center" vertical="center" wrapText="1"/>
    </xf>
    <xf numFmtId="49" fontId="8" fillId="6" borderId="59" xfId="1065">
      <alignment horizontal="center" vertical="center" wrapText="1"/>
    </xf>
    <xf numFmtId="3" fontId="18" fillId="0" borderId="14" xfId="1050">
      <alignment horizontal="center" vertical="center" wrapText="1"/>
    </xf>
    <xf numFmtId="49" fontId="18" fillId="0" borderId="11" xfId="1045">
      <alignment horizontal="center" vertical="center" wrapText="1"/>
    </xf>
    <xf numFmtId="49" fontId="18" fillId="0" borderId="11" xfId="1046">
      <alignment horizontal="left" vertical="center" wrapText="1"/>
    </xf>
    <xf numFmtId="49" fontId="72" fillId="0" borderId="11" xfId="1051">
      <alignment horizontal="center" vertical="center" wrapText="1"/>
    </xf>
    <xf numFmtId="0" fontId="71" fillId="0" borderId="14" xfId="1052">
      <alignment horizontal="center" vertical="center"/>
    </xf>
    <xf numFmtId="0" fontId="8" fillId="9" borderId="23" xfId="1159">
      <alignment horizontal="left" vertical="center" wrapText="1"/>
    </xf>
    <xf numFmtId="0" fontId="8" fillId="9" borderId="33" xfId="1163">
      <alignment horizontal="left" vertical="center" wrapText="1"/>
    </xf>
    <xf numFmtId="49" fontId="8" fillId="9" borderId="23" xfId="1160">
      <alignment horizontal="left" vertical="center" wrapText="1"/>
    </xf>
    <xf numFmtId="49" fontId="8" fillId="0" borderId="33" xfId="1155">
      <alignment horizontal="center" vertical="center"/>
    </xf>
    <xf numFmtId="0" fontId="8" fillId="0" borderId="20" xfId="1157">
      <alignment horizontal="center" vertical="center"/>
    </xf>
    <xf numFmtId="49" fontId="8" fillId="4" borderId="23" xfId="1171">
      <alignment horizontal="left" vertical="center" wrapText="1"/>
      <protection locked="0"/>
    </xf>
    <xf numFmtId="0" fontId="28" fillId="10" borderId="16" xfId="1136">
      <alignment horizontal="left" vertical="center"/>
    </xf>
    <xf numFmtId="0" fontId="28" fillId="10" borderId="11" xfId="1137">
      <alignment horizontal="left" vertical="center"/>
    </xf>
    <xf numFmtId="0" fontId="28" fillId="10" borderId="17" xfId="1166">
      <alignment horizontal="left" vertical="center"/>
    </xf>
    <xf numFmtId="0" fontId="28" fillId="10" borderId="18" xfId="1167">
      <alignment horizontal="left" vertical="center"/>
    </xf>
    <xf numFmtId="49" fontId="8" fillId="7" borderId="14" xfId="363">
      <alignment horizontal="left" vertical="center" wrapText="1"/>
      <protection locked="0"/>
    </xf>
    <xf numFmtId="49" fontId="8" fillId="7" borderId="23" xfId="1168">
      <alignment horizontal="left" vertical="center" wrapText="1"/>
      <protection locked="0"/>
    </xf>
    <xf numFmtId="49" fontId="8" fillId="9" borderId="11" xfId="1092">
      <alignment horizontal="left" vertical="center" wrapText="1"/>
    </xf>
    <xf numFmtId="3" fontId="8" fillId="7" borderId="14" xfId="1096">
      <alignment horizontal="center" vertical="center" wrapText="1"/>
      <protection locked="0"/>
    </xf>
    <xf numFmtId="49" fontId="8" fillId="9" borderId="12" xfId="1097">
      <alignment horizontal="center" vertical="center" wrapText="1"/>
    </xf>
    <xf numFmtId="0" fontId="29" fillId="0" borderId="11" xfId="1091">
      <alignment horizontal="center" vertical="center"/>
    </xf>
    <xf numFmtId="49" fontId="75" fillId="0" borderId="14" xfId="1182">
      <alignment horizontal="center" vertical="top" wrapText="1"/>
    </xf>
    <xf numFmtId="0" fontId="75" fillId="20" borderId="14" xfId="1193">
      <alignment horizontal="center" vertical="center" wrapText="1"/>
    </xf>
    <xf numFmtId="49" fontId="75" fillId="0" borderId="24" xfId="1197">
      <alignment horizontal="center" vertical="top" wrapText="1"/>
    </xf>
    <xf numFmtId="49" fontId="75" fillId="0" borderId="26" xfId="1200">
      <alignment horizontal="center" vertical="top" wrapText="1"/>
    </xf>
    <xf numFmtId="49" fontId="75" fillId="0" borderId="12" xfId="1188">
      <alignment horizontal="center" vertical="top" wrapText="1"/>
    </xf>
    <xf numFmtId="49" fontId="75" fillId="0" borderId="16" xfId="1189">
      <alignment horizontal="center" vertical="top" wrapText="1"/>
    </xf>
    <xf numFmtId="49" fontId="75" fillId="0" borderId="11" xfId="1190">
      <alignment horizontal="center" vertical="top" wrapText="1"/>
    </xf>
    <xf numFmtId="49" fontId="75" fillId="0" borderId="23" xfId="1194">
      <alignment horizontal="center" vertical="top" wrapText="1"/>
    </xf>
    <xf numFmtId="49" fontId="75" fillId="0" borderId="33" xfId="1195">
      <alignment horizontal="center" vertical="top" wrapText="1"/>
    </xf>
    <xf numFmtId="49" fontId="75" fillId="0" borderId="21" xfId="1199">
      <alignment horizontal="center" vertical="top" wrapText="1"/>
    </xf>
    <xf numFmtId="4" fontId="8" fillId="6" borderId="14" xfId="1221">
      <alignment horizontal="left" vertical="center" wrapText="1"/>
    </xf>
    <xf numFmtId="0" fontId="3" fillId="0" borderId="17" xfId="1219">
      <alignment horizontal="left" vertical="center" wrapText="1" indent="1"/>
    </xf>
    <xf numFmtId="0" fontId="3" fillId="0" borderId="36" xfId="1220">
      <alignment horizontal="left" vertical="center" wrapText="1" indent="1"/>
    </xf>
    <xf numFmtId="49" fontId="79" fillId="0" borderId="14" xfId="1231">
      <alignment horizontal="center" vertical="top"/>
    </xf>
    <xf numFmtId="49" fontId="79" fillId="0" borderId="12" xfId="1232">
      <alignment horizontal="center" vertical="top"/>
    </xf>
  </cellXfs>
  <cellStyles count="1253">
    <cellStyle name="s1" xfId="1" xr:uid="{00000000-0005-0000-0000-000001000000}"/>
    <cellStyle name="s10" xfId="10" xr:uid="{00000000-0005-0000-0000-00000A000000}"/>
    <cellStyle name="s100" xfId="100" xr:uid="{00000000-0005-0000-0000-000064000000}"/>
    <cellStyle name="s1000" xfId="1000" xr:uid="{00000000-0005-0000-0000-0000E8030000}"/>
    <cellStyle name="s1001" xfId="1001" xr:uid="{00000000-0005-0000-0000-0000E9030000}"/>
    <cellStyle name="s1002" xfId="1002" xr:uid="{00000000-0005-0000-0000-0000EA030000}"/>
    <cellStyle name="s1003" xfId="1003" xr:uid="{00000000-0005-0000-0000-0000EB030000}"/>
    <cellStyle name="s1004" xfId="1004" xr:uid="{00000000-0005-0000-0000-0000EC030000}"/>
    <cellStyle name="s1005" xfId="1005" xr:uid="{00000000-0005-0000-0000-0000ED030000}"/>
    <cellStyle name="s1006" xfId="1006" xr:uid="{00000000-0005-0000-0000-0000EE030000}"/>
    <cellStyle name="s1007" xfId="1007" xr:uid="{00000000-0005-0000-0000-0000EF030000}"/>
    <cellStyle name="s1008" xfId="1008" xr:uid="{00000000-0005-0000-0000-0000F0030000}"/>
    <cellStyle name="s1009" xfId="1009" xr:uid="{00000000-0005-0000-0000-0000F1030000}"/>
    <cellStyle name="s101" xfId="101" xr:uid="{00000000-0005-0000-0000-000065000000}"/>
    <cellStyle name="s1010" xfId="1010" xr:uid="{00000000-0005-0000-0000-0000F2030000}"/>
    <cellStyle name="s1011" xfId="1011" xr:uid="{00000000-0005-0000-0000-0000F3030000}"/>
    <cellStyle name="s1012" xfId="1012" xr:uid="{00000000-0005-0000-0000-0000F4030000}"/>
    <cellStyle name="s1013" xfId="1013" xr:uid="{00000000-0005-0000-0000-0000F5030000}"/>
    <cellStyle name="s1014" xfId="1014" xr:uid="{00000000-0005-0000-0000-0000F6030000}"/>
    <cellStyle name="s1015" xfId="1015" xr:uid="{00000000-0005-0000-0000-0000F7030000}"/>
    <cellStyle name="s1016" xfId="1016" xr:uid="{00000000-0005-0000-0000-0000F8030000}"/>
    <cellStyle name="s1017" xfId="1017" xr:uid="{00000000-0005-0000-0000-0000F9030000}"/>
    <cellStyle name="s1018" xfId="1018" xr:uid="{00000000-0005-0000-0000-0000FA030000}"/>
    <cellStyle name="s1019" xfId="1019" xr:uid="{00000000-0005-0000-0000-0000FB030000}"/>
    <cellStyle name="s102" xfId="102" xr:uid="{00000000-0005-0000-0000-000066000000}"/>
    <cellStyle name="s1020" xfId="1020" xr:uid="{00000000-0005-0000-0000-0000FC030000}"/>
    <cellStyle name="s1021" xfId="1021" xr:uid="{00000000-0005-0000-0000-0000FD030000}"/>
    <cellStyle name="s1022" xfId="1022" xr:uid="{00000000-0005-0000-0000-0000FE030000}"/>
    <cellStyle name="s1023" xfId="1023" xr:uid="{00000000-0005-0000-0000-0000FF030000}"/>
    <cellStyle name="s1024" xfId="1024" xr:uid="{00000000-0005-0000-0000-000000040000}"/>
    <cellStyle name="s1025" xfId="1025" xr:uid="{00000000-0005-0000-0000-000001040000}"/>
    <cellStyle name="s1026" xfId="1026" xr:uid="{00000000-0005-0000-0000-000002040000}"/>
    <cellStyle name="s1027" xfId="1027" xr:uid="{00000000-0005-0000-0000-000003040000}"/>
    <cellStyle name="s1028" xfId="1028" xr:uid="{00000000-0005-0000-0000-000004040000}"/>
    <cellStyle name="s1029" xfId="1029" xr:uid="{00000000-0005-0000-0000-000005040000}"/>
    <cellStyle name="s103" xfId="103" xr:uid="{00000000-0005-0000-0000-000067000000}"/>
    <cellStyle name="s1030" xfId="1030" xr:uid="{00000000-0005-0000-0000-000006040000}"/>
    <cellStyle name="s1031" xfId="1031" xr:uid="{00000000-0005-0000-0000-000007040000}"/>
    <cellStyle name="s1032" xfId="1032" xr:uid="{00000000-0005-0000-0000-000008040000}"/>
    <cellStyle name="s1033" xfId="1033" xr:uid="{00000000-0005-0000-0000-000009040000}"/>
    <cellStyle name="s1034" xfId="1034" xr:uid="{00000000-0005-0000-0000-00000A040000}"/>
    <cellStyle name="s1035" xfId="1035" xr:uid="{00000000-0005-0000-0000-00000B040000}"/>
    <cellStyle name="s1036" xfId="1036" xr:uid="{00000000-0005-0000-0000-00000C040000}"/>
    <cellStyle name="s1037" xfId="1037" xr:uid="{00000000-0005-0000-0000-00000D040000}"/>
    <cellStyle name="s1038" xfId="1038" xr:uid="{00000000-0005-0000-0000-00000E040000}"/>
    <cellStyle name="s1039" xfId="1039" xr:uid="{00000000-0005-0000-0000-00000F040000}"/>
    <cellStyle name="s104" xfId="104" xr:uid="{00000000-0005-0000-0000-000068000000}"/>
    <cellStyle name="s1040" xfId="1040" xr:uid="{00000000-0005-0000-0000-000010040000}"/>
    <cellStyle name="s1041" xfId="1041" xr:uid="{00000000-0005-0000-0000-000011040000}"/>
    <cellStyle name="s1042" xfId="1042" xr:uid="{00000000-0005-0000-0000-000012040000}"/>
    <cellStyle name="s1043" xfId="1043" xr:uid="{00000000-0005-0000-0000-000013040000}"/>
    <cellStyle name="s1044" xfId="1044" xr:uid="{00000000-0005-0000-0000-000014040000}"/>
    <cellStyle name="s1045" xfId="1045" xr:uid="{00000000-0005-0000-0000-000015040000}"/>
    <cellStyle name="s1046" xfId="1046" xr:uid="{00000000-0005-0000-0000-000016040000}"/>
    <cellStyle name="s1047" xfId="1047" xr:uid="{00000000-0005-0000-0000-000017040000}"/>
    <cellStyle name="s1048" xfId="1048" xr:uid="{00000000-0005-0000-0000-000018040000}"/>
    <cellStyle name="s1049" xfId="1049" xr:uid="{00000000-0005-0000-0000-000019040000}"/>
    <cellStyle name="s105" xfId="105" xr:uid="{00000000-0005-0000-0000-000069000000}"/>
    <cellStyle name="s1050" xfId="1050" xr:uid="{00000000-0005-0000-0000-00001A040000}"/>
    <cellStyle name="s1051" xfId="1051" xr:uid="{00000000-0005-0000-0000-00001B040000}"/>
    <cellStyle name="s1052" xfId="1052" xr:uid="{00000000-0005-0000-0000-00001C040000}"/>
    <cellStyle name="s1053" xfId="1053" xr:uid="{00000000-0005-0000-0000-00001D040000}"/>
    <cellStyle name="s1054" xfId="1054" xr:uid="{00000000-0005-0000-0000-00001E040000}"/>
    <cellStyle name="s1055" xfId="1055" xr:uid="{00000000-0005-0000-0000-00001F040000}"/>
    <cellStyle name="s1056" xfId="1056" xr:uid="{00000000-0005-0000-0000-000020040000}"/>
    <cellStyle name="s1057" xfId="1057" xr:uid="{00000000-0005-0000-0000-000021040000}"/>
    <cellStyle name="s1058" xfId="1058" xr:uid="{00000000-0005-0000-0000-000022040000}"/>
    <cellStyle name="s1059" xfId="1059" xr:uid="{00000000-0005-0000-0000-000023040000}"/>
    <cellStyle name="s106" xfId="106" xr:uid="{00000000-0005-0000-0000-00006A000000}"/>
    <cellStyle name="s1060" xfId="1060" xr:uid="{00000000-0005-0000-0000-000024040000}"/>
    <cellStyle name="s1061" xfId="1061" xr:uid="{00000000-0005-0000-0000-000025040000}"/>
    <cellStyle name="s1062" xfId="1062" xr:uid="{00000000-0005-0000-0000-000026040000}"/>
    <cellStyle name="s1063" xfId="1063" xr:uid="{00000000-0005-0000-0000-000027040000}"/>
    <cellStyle name="s1064" xfId="1064" xr:uid="{00000000-0005-0000-0000-000028040000}"/>
    <cellStyle name="s1065" xfId="1065" xr:uid="{00000000-0005-0000-0000-000029040000}"/>
    <cellStyle name="s1066" xfId="1066" xr:uid="{00000000-0005-0000-0000-00002A040000}"/>
    <cellStyle name="s1067" xfId="1067" xr:uid="{00000000-0005-0000-0000-00002B040000}"/>
    <cellStyle name="s1068" xfId="1068" xr:uid="{00000000-0005-0000-0000-00002C040000}"/>
    <cellStyle name="s1069" xfId="1069" xr:uid="{00000000-0005-0000-0000-00002D040000}"/>
    <cellStyle name="s107" xfId="107" xr:uid="{00000000-0005-0000-0000-00006B000000}"/>
    <cellStyle name="s1070" xfId="1070" xr:uid="{00000000-0005-0000-0000-00002E040000}"/>
    <cellStyle name="s1071" xfId="1071" xr:uid="{00000000-0005-0000-0000-00002F040000}"/>
    <cellStyle name="s1072" xfId="1072" xr:uid="{00000000-0005-0000-0000-000030040000}"/>
    <cellStyle name="s1073" xfId="1073" xr:uid="{00000000-0005-0000-0000-000031040000}"/>
    <cellStyle name="s1074" xfId="1074" xr:uid="{00000000-0005-0000-0000-000032040000}"/>
    <cellStyle name="s1075" xfId="1075" xr:uid="{00000000-0005-0000-0000-000033040000}"/>
    <cellStyle name="s1076" xfId="1076" xr:uid="{00000000-0005-0000-0000-000034040000}"/>
    <cellStyle name="s1077" xfId="1077" xr:uid="{00000000-0005-0000-0000-000035040000}"/>
    <cellStyle name="s1078" xfId="1078" xr:uid="{00000000-0005-0000-0000-000036040000}"/>
    <cellStyle name="s1079" xfId="1079" xr:uid="{00000000-0005-0000-0000-000037040000}"/>
    <cellStyle name="s108" xfId="108" xr:uid="{00000000-0005-0000-0000-00006C000000}"/>
    <cellStyle name="s1080" xfId="1080" xr:uid="{00000000-0005-0000-0000-000038040000}"/>
    <cellStyle name="s1081" xfId="1081" xr:uid="{00000000-0005-0000-0000-000039040000}"/>
    <cellStyle name="s1082" xfId="1082" xr:uid="{00000000-0005-0000-0000-00003A040000}"/>
    <cellStyle name="s1083" xfId="1083" xr:uid="{00000000-0005-0000-0000-00003B040000}"/>
    <cellStyle name="s1084" xfId="1084" xr:uid="{00000000-0005-0000-0000-00003C040000}"/>
    <cellStyle name="s1085" xfId="1085" xr:uid="{00000000-0005-0000-0000-00003D040000}"/>
    <cellStyle name="s1086" xfId="1086" xr:uid="{00000000-0005-0000-0000-00003E040000}"/>
    <cellStyle name="s1087" xfId="1087" xr:uid="{00000000-0005-0000-0000-00003F040000}"/>
    <cellStyle name="s1088" xfId="1088" xr:uid="{00000000-0005-0000-0000-000040040000}"/>
    <cellStyle name="s1089" xfId="1089" xr:uid="{00000000-0005-0000-0000-000041040000}"/>
    <cellStyle name="s109" xfId="109" xr:uid="{00000000-0005-0000-0000-00006D000000}"/>
    <cellStyle name="s1090" xfId="1090" xr:uid="{00000000-0005-0000-0000-000042040000}"/>
    <cellStyle name="s1091" xfId="1091" xr:uid="{00000000-0005-0000-0000-000043040000}"/>
    <cellStyle name="s1092" xfId="1092" xr:uid="{00000000-0005-0000-0000-000044040000}"/>
    <cellStyle name="s1093" xfId="1093" xr:uid="{00000000-0005-0000-0000-000045040000}"/>
    <cellStyle name="s1094" xfId="1094" xr:uid="{00000000-0005-0000-0000-000046040000}"/>
    <cellStyle name="s1095" xfId="1095" xr:uid="{00000000-0005-0000-0000-000047040000}"/>
    <cellStyle name="s1096" xfId="1096" xr:uid="{00000000-0005-0000-0000-000048040000}"/>
    <cellStyle name="s1097" xfId="1097" xr:uid="{00000000-0005-0000-0000-000049040000}"/>
    <cellStyle name="s1098" xfId="1098" xr:uid="{00000000-0005-0000-0000-00004A040000}"/>
    <cellStyle name="s1099" xfId="1099" xr:uid="{00000000-0005-0000-0000-00004B040000}"/>
    <cellStyle name="s11" xfId="11" xr:uid="{00000000-0005-0000-0000-00000B000000}"/>
    <cellStyle name="s110" xfId="110" xr:uid="{00000000-0005-0000-0000-00006E000000}"/>
    <cellStyle name="s1100" xfId="1100" xr:uid="{00000000-0005-0000-0000-00004C040000}"/>
    <cellStyle name="s1101" xfId="1101" xr:uid="{00000000-0005-0000-0000-00004D040000}"/>
    <cellStyle name="s1102" xfId="1102" xr:uid="{00000000-0005-0000-0000-00004E040000}"/>
    <cellStyle name="s1103" xfId="1103" xr:uid="{00000000-0005-0000-0000-00004F040000}"/>
    <cellStyle name="s1104" xfId="1104" xr:uid="{00000000-0005-0000-0000-000050040000}"/>
    <cellStyle name="s1105" xfId="1105" xr:uid="{00000000-0005-0000-0000-000051040000}"/>
    <cellStyle name="s1106" xfId="1106" xr:uid="{00000000-0005-0000-0000-000052040000}"/>
    <cellStyle name="s1107" xfId="1107" xr:uid="{00000000-0005-0000-0000-000053040000}"/>
    <cellStyle name="s1108" xfId="1108" xr:uid="{00000000-0005-0000-0000-000054040000}"/>
    <cellStyle name="s1109" xfId="1109" xr:uid="{00000000-0005-0000-0000-000055040000}"/>
    <cellStyle name="s111" xfId="111" xr:uid="{00000000-0005-0000-0000-00006F000000}"/>
    <cellStyle name="s1110" xfId="1110" xr:uid="{00000000-0005-0000-0000-000056040000}"/>
    <cellStyle name="s1111" xfId="1111" xr:uid="{00000000-0005-0000-0000-000057040000}"/>
    <cellStyle name="s1112" xfId="1112" xr:uid="{00000000-0005-0000-0000-000058040000}"/>
    <cellStyle name="s1113" xfId="1113" xr:uid="{00000000-0005-0000-0000-000059040000}"/>
    <cellStyle name="s1114" xfId="1114" xr:uid="{00000000-0005-0000-0000-00005A040000}"/>
    <cellStyle name="s1115" xfId="1115" xr:uid="{00000000-0005-0000-0000-00005B040000}"/>
    <cellStyle name="s1116" xfId="1116" xr:uid="{00000000-0005-0000-0000-00005C040000}"/>
    <cellStyle name="s1117" xfId="1117" xr:uid="{00000000-0005-0000-0000-00005D040000}"/>
    <cellStyle name="s1118" xfId="1118" xr:uid="{00000000-0005-0000-0000-00005E040000}"/>
    <cellStyle name="s1119" xfId="1119" xr:uid="{00000000-0005-0000-0000-00005F040000}"/>
    <cellStyle name="s112" xfId="112" xr:uid="{00000000-0005-0000-0000-000070000000}"/>
    <cellStyle name="s1120" xfId="1120" xr:uid="{00000000-0005-0000-0000-000060040000}"/>
    <cellStyle name="s1121" xfId="1121" xr:uid="{00000000-0005-0000-0000-000061040000}"/>
    <cellStyle name="s1122" xfId="1122" xr:uid="{00000000-0005-0000-0000-000062040000}"/>
    <cellStyle name="s1123" xfId="1123" xr:uid="{00000000-0005-0000-0000-000063040000}"/>
    <cellStyle name="s1124" xfId="1124" xr:uid="{00000000-0005-0000-0000-000064040000}"/>
    <cellStyle name="s1125" xfId="1125" xr:uid="{00000000-0005-0000-0000-000065040000}"/>
    <cellStyle name="s1126" xfId="1126" xr:uid="{00000000-0005-0000-0000-000066040000}"/>
    <cellStyle name="s1127" xfId="1127" xr:uid="{00000000-0005-0000-0000-000067040000}"/>
    <cellStyle name="s1128" xfId="1128" xr:uid="{00000000-0005-0000-0000-000068040000}"/>
    <cellStyle name="s1129" xfId="1129" xr:uid="{00000000-0005-0000-0000-000069040000}"/>
    <cellStyle name="s113" xfId="113" xr:uid="{00000000-0005-0000-0000-000071000000}"/>
    <cellStyle name="s1130" xfId="1130" xr:uid="{00000000-0005-0000-0000-00006A040000}"/>
    <cellStyle name="s1131" xfId="1131" xr:uid="{00000000-0005-0000-0000-00006B040000}"/>
    <cellStyle name="s1132" xfId="1132" xr:uid="{00000000-0005-0000-0000-00006C040000}"/>
    <cellStyle name="s1133" xfId="1133" xr:uid="{00000000-0005-0000-0000-00006D040000}"/>
    <cellStyle name="s1134" xfId="1134" xr:uid="{00000000-0005-0000-0000-00006E040000}"/>
    <cellStyle name="s1135" xfId="1135" xr:uid="{00000000-0005-0000-0000-00006F040000}"/>
    <cellStyle name="s1136" xfId="1136" xr:uid="{00000000-0005-0000-0000-000070040000}"/>
    <cellStyle name="s1137" xfId="1137" xr:uid="{00000000-0005-0000-0000-000071040000}"/>
    <cellStyle name="s1138" xfId="1138" xr:uid="{00000000-0005-0000-0000-000072040000}"/>
    <cellStyle name="s1139" xfId="1139" xr:uid="{00000000-0005-0000-0000-000073040000}"/>
    <cellStyle name="s114" xfId="114" xr:uid="{00000000-0005-0000-0000-000072000000}"/>
    <cellStyle name="s1140" xfId="1140" xr:uid="{00000000-0005-0000-0000-000074040000}"/>
    <cellStyle name="s1141" xfId="1141" xr:uid="{00000000-0005-0000-0000-000075040000}"/>
    <cellStyle name="s1142" xfId="1142" xr:uid="{00000000-0005-0000-0000-000076040000}"/>
    <cellStyle name="s1143" xfId="1143" xr:uid="{00000000-0005-0000-0000-000077040000}"/>
    <cellStyle name="s1144" xfId="1144" xr:uid="{00000000-0005-0000-0000-000078040000}"/>
    <cellStyle name="s1145" xfId="1145" xr:uid="{00000000-0005-0000-0000-000079040000}"/>
    <cellStyle name="s1146" xfId="1146" xr:uid="{00000000-0005-0000-0000-00007A040000}"/>
    <cellStyle name="s1147" xfId="1147" xr:uid="{00000000-0005-0000-0000-00007B040000}"/>
    <cellStyle name="s1148" xfId="1148" xr:uid="{00000000-0005-0000-0000-00007C040000}"/>
    <cellStyle name="s1149" xfId="1149" xr:uid="{00000000-0005-0000-0000-00007D040000}"/>
    <cellStyle name="s115" xfId="115" xr:uid="{00000000-0005-0000-0000-000073000000}"/>
    <cellStyle name="s1150" xfId="1150" xr:uid="{00000000-0005-0000-0000-00007E040000}"/>
    <cellStyle name="s1151" xfId="1151" xr:uid="{00000000-0005-0000-0000-00007F040000}"/>
    <cellStyle name="s1152" xfId="1152" xr:uid="{00000000-0005-0000-0000-000080040000}"/>
    <cellStyle name="s1153" xfId="1153" xr:uid="{00000000-0005-0000-0000-000081040000}"/>
    <cellStyle name="s1154" xfId="1154" xr:uid="{00000000-0005-0000-0000-000082040000}"/>
    <cellStyle name="s1155" xfId="1155" xr:uid="{00000000-0005-0000-0000-000083040000}"/>
    <cellStyle name="s1156" xfId="1156" xr:uid="{00000000-0005-0000-0000-000084040000}"/>
    <cellStyle name="s1157" xfId="1157" xr:uid="{00000000-0005-0000-0000-000085040000}"/>
    <cellStyle name="s1158" xfId="1158" xr:uid="{00000000-0005-0000-0000-000086040000}"/>
    <cellStyle name="s1159" xfId="1159" xr:uid="{00000000-0005-0000-0000-000087040000}"/>
    <cellStyle name="s116" xfId="116" xr:uid="{00000000-0005-0000-0000-000074000000}"/>
    <cellStyle name="s1160" xfId="1160" xr:uid="{00000000-0005-0000-0000-000088040000}"/>
    <cellStyle name="s1161" xfId="1161" xr:uid="{00000000-0005-0000-0000-000089040000}"/>
    <cellStyle name="s1162" xfId="1162" xr:uid="{00000000-0005-0000-0000-00008A040000}"/>
    <cellStyle name="s1163" xfId="1163" xr:uid="{00000000-0005-0000-0000-00008B040000}"/>
    <cellStyle name="s1164" xfId="1164" xr:uid="{00000000-0005-0000-0000-00008C040000}"/>
    <cellStyle name="s1165" xfId="1165" xr:uid="{00000000-0005-0000-0000-00008D040000}"/>
    <cellStyle name="s1166" xfId="1166" xr:uid="{00000000-0005-0000-0000-00008E040000}"/>
    <cellStyle name="s1167" xfId="1167" xr:uid="{00000000-0005-0000-0000-00008F040000}"/>
    <cellStyle name="s1168" xfId="1168" xr:uid="{00000000-0005-0000-0000-000090040000}"/>
    <cellStyle name="s1169" xfId="1169" xr:uid="{00000000-0005-0000-0000-000091040000}"/>
    <cellStyle name="s117" xfId="117" xr:uid="{00000000-0005-0000-0000-000075000000}"/>
    <cellStyle name="s1170" xfId="1170" xr:uid="{00000000-0005-0000-0000-000092040000}"/>
    <cellStyle name="s1171" xfId="1171" xr:uid="{00000000-0005-0000-0000-000093040000}"/>
    <cellStyle name="s1172" xfId="1172" xr:uid="{00000000-0005-0000-0000-000094040000}"/>
    <cellStyle name="s1173" xfId="1173" xr:uid="{00000000-0005-0000-0000-000095040000}"/>
    <cellStyle name="s1174" xfId="1174" xr:uid="{00000000-0005-0000-0000-000096040000}"/>
    <cellStyle name="s1175" xfId="1175" xr:uid="{00000000-0005-0000-0000-000097040000}"/>
    <cellStyle name="s1176" xfId="1176" xr:uid="{00000000-0005-0000-0000-000098040000}"/>
    <cellStyle name="s1177" xfId="1177" xr:uid="{00000000-0005-0000-0000-000099040000}"/>
    <cellStyle name="s1178" xfId="1178" xr:uid="{00000000-0005-0000-0000-00009A040000}"/>
    <cellStyle name="s1179" xfId="1179" xr:uid="{00000000-0005-0000-0000-00009B040000}"/>
    <cellStyle name="s118" xfId="118" xr:uid="{00000000-0005-0000-0000-000076000000}"/>
    <cellStyle name="s1180" xfId="1180" xr:uid="{00000000-0005-0000-0000-00009C040000}"/>
    <cellStyle name="s1181" xfId="1181" xr:uid="{00000000-0005-0000-0000-00009D040000}"/>
    <cellStyle name="s1182" xfId="1182" xr:uid="{00000000-0005-0000-0000-00009E040000}"/>
    <cellStyle name="s1183" xfId="1183" xr:uid="{00000000-0005-0000-0000-00009F040000}"/>
    <cellStyle name="s1184" xfId="1184" xr:uid="{00000000-0005-0000-0000-0000A0040000}"/>
    <cellStyle name="s1185" xfId="1185" xr:uid="{00000000-0005-0000-0000-0000A1040000}"/>
    <cellStyle name="s1186" xfId="1186" xr:uid="{00000000-0005-0000-0000-0000A2040000}"/>
    <cellStyle name="s1187" xfId="1187" xr:uid="{00000000-0005-0000-0000-0000A3040000}"/>
    <cellStyle name="s1188" xfId="1188" xr:uid="{00000000-0005-0000-0000-0000A4040000}"/>
    <cellStyle name="s1189" xfId="1189" xr:uid="{00000000-0005-0000-0000-0000A5040000}"/>
    <cellStyle name="s119" xfId="119" xr:uid="{00000000-0005-0000-0000-000077000000}"/>
    <cellStyle name="s1190" xfId="1190" xr:uid="{00000000-0005-0000-0000-0000A6040000}"/>
    <cellStyle name="s1191" xfId="1191" xr:uid="{00000000-0005-0000-0000-0000A7040000}"/>
    <cellStyle name="s1192" xfId="1192" xr:uid="{00000000-0005-0000-0000-0000A8040000}"/>
    <cellStyle name="s1193" xfId="1193" xr:uid="{00000000-0005-0000-0000-0000A9040000}"/>
    <cellStyle name="s1194" xfId="1194" xr:uid="{00000000-0005-0000-0000-0000AA040000}"/>
    <cellStyle name="s1195" xfId="1195" xr:uid="{00000000-0005-0000-0000-0000AB040000}"/>
    <cellStyle name="s1196" xfId="1196" xr:uid="{00000000-0005-0000-0000-0000AC040000}"/>
    <cellStyle name="s1197" xfId="1197" xr:uid="{00000000-0005-0000-0000-0000AD040000}"/>
    <cellStyle name="s1198" xfId="1198" xr:uid="{00000000-0005-0000-0000-0000AE040000}"/>
    <cellStyle name="s1199" xfId="1199" xr:uid="{00000000-0005-0000-0000-0000AF040000}"/>
    <cellStyle name="s12" xfId="12" xr:uid="{00000000-0005-0000-0000-00000C000000}"/>
    <cellStyle name="s120" xfId="120" xr:uid="{00000000-0005-0000-0000-000078000000}"/>
    <cellStyle name="s1200" xfId="1200" xr:uid="{00000000-0005-0000-0000-0000B0040000}"/>
    <cellStyle name="s1201" xfId="1201" xr:uid="{00000000-0005-0000-0000-0000B1040000}"/>
    <cellStyle name="s1202" xfId="1202" xr:uid="{00000000-0005-0000-0000-0000B2040000}"/>
    <cellStyle name="s1203" xfId="1203" xr:uid="{00000000-0005-0000-0000-0000B3040000}"/>
    <cellStyle name="s1204" xfId="1204" xr:uid="{00000000-0005-0000-0000-0000B4040000}"/>
    <cellStyle name="s1205" xfId="1205" xr:uid="{00000000-0005-0000-0000-0000B5040000}"/>
    <cellStyle name="s1206" xfId="1206" xr:uid="{00000000-0005-0000-0000-0000B6040000}"/>
    <cellStyle name="s1207" xfId="1207" xr:uid="{00000000-0005-0000-0000-0000B7040000}"/>
    <cellStyle name="s1208" xfId="1208" xr:uid="{00000000-0005-0000-0000-0000B8040000}"/>
    <cellStyle name="s1209" xfId="1209" xr:uid="{00000000-0005-0000-0000-0000B9040000}"/>
    <cellStyle name="s121" xfId="121" xr:uid="{00000000-0005-0000-0000-000079000000}"/>
    <cellStyle name="s1210" xfId="1210" xr:uid="{00000000-0005-0000-0000-0000BA040000}"/>
    <cellStyle name="s1211" xfId="1211" xr:uid="{00000000-0005-0000-0000-0000BB040000}"/>
    <cellStyle name="s1212" xfId="1212" xr:uid="{00000000-0005-0000-0000-0000BC040000}"/>
    <cellStyle name="s1213" xfId="1213" xr:uid="{00000000-0005-0000-0000-0000BD040000}"/>
    <cellStyle name="s1214" xfId="1214" xr:uid="{00000000-0005-0000-0000-0000BE040000}"/>
    <cellStyle name="s1215" xfId="1215" xr:uid="{00000000-0005-0000-0000-0000BF040000}"/>
    <cellStyle name="s1216" xfId="1216" xr:uid="{00000000-0005-0000-0000-0000C0040000}"/>
    <cellStyle name="s1217" xfId="1217" xr:uid="{00000000-0005-0000-0000-0000C1040000}"/>
    <cellStyle name="s1218" xfId="1218" xr:uid="{00000000-0005-0000-0000-0000C2040000}"/>
    <cellStyle name="s1219" xfId="1219" xr:uid="{00000000-0005-0000-0000-0000C3040000}"/>
    <cellStyle name="s122" xfId="122" xr:uid="{00000000-0005-0000-0000-00007A000000}"/>
    <cellStyle name="s1220" xfId="1220" xr:uid="{00000000-0005-0000-0000-0000C4040000}"/>
    <cellStyle name="s1221" xfId="1221" xr:uid="{00000000-0005-0000-0000-0000C5040000}"/>
    <cellStyle name="s1222" xfId="1222" xr:uid="{00000000-0005-0000-0000-0000C6040000}"/>
    <cellStyle name="s1223" xfId="1223" xr:uid="{00000000-0005-0000-0000-0000C7040000}"/>
    <cellStyle name="s1224" xfId="1224" xr:uid="{00000000-0005-0000-0000-0000C8040000}"/>
    <cellStyle name="s1225" xfId="1225" xr:uid="{00000000-0005-0000-0000-0000C9040000}"/>
    <cellStyle name="s1226" xfId="1226" xr:uid="{00000000-0005-0000-0000-0000CA040000}"/>
    <cellStyle name="s1227" xfId="1227" xr:uid="{00000000-0005-0000-0000-0000CB040000}"/>
    <cellStyle name="s1228" xfId="1228" xr:uid="{00000000-0005-0000-0000-0000CC040000}"/>
    <cellStyle name="s1229" xfId="1229" xr:uid="{00000000-0005-0000-0000-0000CD040000}"/>
    <cellStyle name="s123" xfId="123" xr:uid="{00000000-0005-0000-0000-00007B000000}"/>
    <cellStyle name="s1230" xfId="1230" xr:uid="{00000000-0005-0000-0000-0000CE040000}"/>
    <cellStyle name="s1231" xfId="1231" xr:uid="{00000000-0005-0000-0000-0000CF040000}"/>
    <cellStyle name="s1232" xfId="1232" xr:uid="{00000000-0005-0000-0000-0000D0040000}"/>
    <cellStyle name="s1233" xfId="1233" xr:uid="{00000000-0005-0000-0000-0000D1040000}"/>
    <cellStyle name="s1234" xfId="1234" xr:uid="{00000000-0005-0000-0000-0000D2040000}"/>
    <cellStyle name="s1235" xfId="1235" xr:uid="{00000000-0005-0000-0000-0000D3040000}"/>
    <cellStyle name="s1236" xfId="1236" xr:uid="{00000000-0005-0000-0000-0000D4040000}"/>
    <cellStyle name="s1237" xfId="1237" xr:uid="{00000000-0005-0000-0000-0000D5040000}"/>
    <cellStyle name="s1238" xfId="1238" xr:uid="{00000000-0005-0000-0000-0000D6040000}"/>
    <cellStyle name="s1239" xfId="1239" xr:uid="{00000000-0005-0000-0000-0000D7040000}"/>
    <cellStyle name="s124" xfId="124" xr:uid="{00000000-0005-0000-0000-00007C000000}"/>
    <cellStyle name="s1240" xfId="1240" xr:uid="{00000000-0005-0000-0000-0000D8040000}"/>
    <cellStyle name="s1241" xfId="1241" xr:uid="{00000000-0005-0000-0000-0000D9040000}"/>
    <cellStyle name="s1242" xfId="1242" xr:uid="{00000000-0005-0000-0000-0000DA040000}"/>
    <cellStyle name="s1243" xfId="1243" xr:uid="{00000000-0005-0000-0000-0000DB040000}"/>
    <cellStyle name="s1244" xfId="1244" xr:uid="{00000000-0005-0000-0000-0000DC040000}"/>
    <cellStyle name="s1245" xfId="1245" xr:uid="{00000000-0005-0000-0000-0000DD040000}"/>
    <cellStyle name="s1246" xfId="1246" xr:uid="{00000000-0005-0000-0000-0000DE040000}"/>
    <cellStyle name="s1247" xfId="1247" xr:uid="{00000000-0005-0000-0000-0000DF040000}"/>
    <cellStyle name="s1248" xfId="1248" xr:uid="{00000000-0005-0000-0000-0000E0040000}"/>
    <cellStyle name="s1249" xfId="1249" xr:uid="{00000000-0005-0000-0000-0000E1040000}"/>
    <cellStyle name="s125" xfId="125" xr:uid="{00000000-0005-0000-0000-00007D000000}"/>
    <cellStyle name="s1250" xfId="1250" xr:uid="{00000000-0005-0000-0000-0000E2040000}"/>
    <cellStyle name="s1251" xfId="1251" xr:uid="{00000000-0005-0000-0000-0000E3040000}"/>
    <cellStyle name="s1252" xfId="1252" xr:uid="{00000000-0005-0000-0000-0000E4040000}"/>
    <cellStyle name="s126" xfId="126" xr:uid="{00000000-0005-0000-0000-00007E000000}"/>
    <cellStyle name="s127" xfId="127" xr:uid="{00000000-0005-0000-0000-00007F000000}"/>
    <cellStyle name="s128" xfId="128" xr:uid="{00000000-0005-0000-0000-000080000000}"/>
    <cellStyle name="s129" xfId="129" xr:uid="{00000000-0005-0000-0000-000081000000}"/>
    <cellStyle name="s13" xfId="13" xr:uid="{00000000-0005-0000-0000-00000D000000}"/>
    <cellStyle name="s130" xfId="130" xr:uid="{00000000-0005-0000-0000-000082000000}"/>
    <cellStyle name="s131" xfId="131" xr:uid="{00000000-0005-0000-0000-000083000000}"/>
    <cellStyle name="s132" xfId="132" xr:uid="{00000000-0005-0000-0000-000084000000}"/>
    <cellStyle name="s133" xfId="133" xr:uid="{00000000-0005-0000-0000-000085000000}"/>
    <cellStyle name="s134" xfId="134" xr:uid="{00000000-0005-0000-0000-000086000000}"/>
    <cellStyle name="s135" xfId="135" xr:uid="{00000000-0005-0000-0000-000087000000}"/>
    <cellStyle name="s136" xfId="136" xr:uid="{00000000-0005-0000-0000-000088000000}"/>
    <cellStyle name="s137" xfId="137" xr:uid="{00000000-0005-0000-0000-000089000000}"/>
    <cellStyle name="s138" xfId="138" xr:uid="{00000000-0005-0000-0000-00008A000000}"/>
    <cellStyle name="s139" xfId="139" xr:uid="{00000000-0005-0000-0000-00008B000000}"/>
    <cellStyle name="s14" xfId="14" xr:uid="{00000000-0005-0000-0000-00000E000000}"/>
    <cellStyle name="s140" xfId="140" xr:uid="{00000000-0005-0000-0000-00008C000000}"/>
    <cellStyle name="s141" xfId="141" xr:uid="{00000000-0005-0000-0000-00008D000000}"/>
    <cellStyle name="s142" xfId="142" xr:uid="{00000000-0005-0000-0000-00008E000000}"/>
    <cellStyle name="s143" xfId="143" xr:uid="{00000000-0005-0000-0000-00008F000000}"/>
    <cellStyle name="s144" xfId="144" xr:uid="{00000000-0005-0000-0000-000090000000}"/>
    <cellStyle name="s145" xfId="145" xr:uid="{00000000-0005-0000-0000-000091000000}"/>
    <cellStyle name="s146" xfId="146" xr:uid="{00000000-0005-0000-0000-000092000000}"/>
    <cellStyle name="s147" xfId="147" xr:uid="{00000000-0005-0000-0000-000093000000}"/>
    <cellStyle name="s148" xfId="148" xr:uid="{00000000-0005-0000-0000-000094000000}"/>
    <cellStyle name="s149" xfId="149" xr:uid="{00000000-0005-0000-0000-000095000000}"/>
    <cellStyle name="s15" xfId="15" xr:uid="{00000000-0005-0000-0000-00000F000000}"/>
    <cellStyle name="s150" xfId="150" xr:uid="{00000000-0005-0000-0000-000096000000}"/>
    <cellStyle name="s151" xfId="151" xr:uid="{00000000-0005-0000-0000-000097000000}"/>
    <cellStyle name="s152" xfId="152" xr:uid="{00000000-0005-0000-0000-000098000000}"/>
    <cellStyle name="s153" xfId="153" xr:uid="{00000000-0005-0000-0000-000099000000}"/>
    <cellStyle name="s154" xfId="154" xr:uid="{00000000-0005-0000-0000-00009A000000}"/>
    <cellStyle name="s155" xfId="155" xr:uid="{00000000-0005-0000-0000-00009B000000}"/>
    <cellStyle name="s156" xfId="156" xr:uid="{00000000-0005-0000-0000-00009C000000}"/>
    <cellStyle name="s157" xfId="157" xr:uid="{00000000-0005-0000-0000-00009D000000}"/>
    <cellStyle name="s158" xfId="158" xr:uid="{00000000-0005-0000-0000-00009E000000}"/>
    <cellStyle name="s159" xfId="159" xr:uid="{00000000-0005-0000-0000-00009F000000}"/>
    <cellStyle name="s16" xfId="16" xr:uid="{00000000-0005-0000-0000-000010000000}"/>
    <cellStyle name="s160" xfId="160" xr:uid="{00000000-0005-0000-0000-0000A0000000}"/>
    <cellStyle name="s161" xfId="161" xr:uid="{00000000-0005-0000-0000-0000A1000000}"/>
    <cellStyle name="s162" xfId="162" xr:uid="{00000000-0005-0000-0000-0000A2000000}"/>
    <cellStyle name="s163" xfId="163" xr:uid="{00000000-0005-0000-0000-0000A3000000}"/>
    <cellStyle name="s164" xfId="164" xr:uid="{00000000-0005-0000-0000-0000A4000000}"/>
    <cellStyle name="s165" xfId="165" xr:uid="{00000000-0005-0000-0000-0000A5000000}"/>
    <cellStyle name="s166" xfId="166" xr:uid="{00000000-0005-0000-0000-0000A6000000}"/>
    <cellStyle name="s167" xfId="167" xr:uid="{00000000-0005-0000-0000-0000A7000000}"/>
    <cellStyle name="s168" xfId="168" xr:uid="{00000000-0005-0000-0000-0000A8000000}"/>
    <cellStyle name="s169" xfId="169" xr:uid="{00000000-0005-0000-0000-0000A9000000}"/>
    <cellStyle name="s17" xfId="17" xr:uid="{00000000-0005-0000-0000-000011000000}"/>
    <cellStyle name="s170" xfId="170" xr:uid="{00000000-0005-0000-0000-0000AA000000}"/>
    <cellStyle name="s171" xfId="171" xr:uid="{00000000-0005-0000-0000-0000AB000000}"/>
    <cellStyle name="s172" xfId="172" xr:uid="{00000000-0005-0000-0000-0000AC000000}"/>
    <cellStyle name="s173" xfId="173" xr:uid="{00000000-0005-0000-0000-0000AD000000}"/>
    <cellStyle name="s174" xfId="174" xr:uid="{00000000-0005-0000-0000-0000AE000000}"/>
    <cellStyle name="s175" xfId="175" xr:uid="{00000000-0005-0000-0000-0000AF000000}"/>
    <cellStyle name="s176" xfId="176" xr:uid="{00000000-0005-0000-0000-0000B0000000}"/>
    <cellStyle name="s177" xfId="177" xr:uid="{00000000-0005-0000-0000-0000B1000000}"/>
    <cellStyle name="s178" xfId="178" xr:uid="{00000000-0005-0000-0000-0000B2000000}"/>
    <cellStyle name="s179" xfId="179" xr:uid="{00000000-0005-0000-0000-0000B3000000}"/>
    <cellStyle name="s18" xfId="18" xr:uid="{00000000-0005-0000-0000-000012000000}"/>
    <cellStyle name="s180" xfId="180" xr:uid="{00000000-0005-0000-0000-0000B4000000}"/>
    <cellStyle name="s181" xfId="181" xr:uid="{00000000-0005-0000-0000-0000B5000000}"/>
    <cellStyle name="s182" xfId="182" xr:uid="{00000000-0005-0000-0000-0000B6000000}"/>
    <cellStyle name="s183" xfId="183" xr:uid="{00000000-0005-0000-0000-0000B7000000}"/>
    <cellStyle name="s184" xfId="184" xr:uid="{00000000-0005-0000-0000-0000B8000000}"/>
    <cellStyle name="s185" xfId="185" xr:uid="{00000000-0005-0000-0000-0000B9000000}"/>
    <cellStyle name="s186" xfId="186" xr:uid="{00000000-0005-0000-0000-0000BA000000}"/>
    <cellStyle name="s187" xfId="187" xr:uid="{00000000-0005-0000-0000-0000BB000000}"/>
    <cellStyle name="s188" xfId="188" xr:uid="{00000000-0005-0000-0000-0000BC000000}"/>
    <cellStyle name="s189" xfId="189" xr:uid="{00000000-0005-0000-0000-0000BD000000}"/>
    <cellStyle name="s19" xfId="19" xr:uid="{00000000-0005-0000-0000-000013000000}"/>
    <cellStyle name="s190" xfId="190" xr:uid="{00000000-0005-0000-0000-0000BE000000}"/>
    <cellStyle name="s191" xfId="191" xr:uid="{00000000-0005-0000-0000-0000BF000000}"/>
    <cellStyle name="s192" xfId="192" xr:uid="{00000000-0005-0000-0000-0000C0000000}"/>
    <cellStyle name="s193" xfId="193" xr:uid="{00000000-0005-0000-0000-0000C1000000}"/>
    <cellStyle name="s194" xfId="194" xr:uid="{00000000-0005-0000-0000-0000C2000000}"/>
    <cellStyle name="s195" xfId="195" xr:uid="{00000000-0005-0000-0000-0000C3000000}"/>
    <cellStyle name="s196" xfId="196" xr:uid="{00000000-0005-0000-0000-0000C4000000}"/>
    <cellStyle name="s197" xfId="197" xr:uid="{00000000-0005-0000-0000-0000C5000000}"/>
    <cellStyle name="s198" xfId="198" xr:uid="{00000000-0005-0000-0000-0000C6000000}"/>
    <cellStyle name="s199" xfId="199" xr:uid="{00000000-0005-0000-0000-0000C7000000}"/>
    <cellStyle name="s2" xfId="2" xr:uid="{00000000-0005-0000-0000-000002000000}"/>
    <cellStyle name="s20" xfId="20" xr:uid="{00000000-0005-0000-0000-000014000000}"/>
    <cellStyle name="s200" xfId="200" xr:uid="{00000000-0005-0000-0000-0000C8000000}"/>
    <cellStyle name="s201" xfId="201" xr:uid="{00000000-0005-0000-0000-0000C9000000}"/>
    <cellStyle name="s202" xfId="202" xr:uid="{00000000-0005-0000-0000-0000CA000000}"/>
    <cellStyle name="s203" xfId="203" xr:uid="{00000000-0005-0000-0000-0000CB000000}"/>
    <cellStyle name="s204" xfId="204" xr:uid="{00000000-0005-0000-0000-0000CC000000}"/>
    <cellStyle name="s205" xfId="205" xr:uid="{00000000-0005-0000-0000-0000CD000000}"/>
    <cellStyle name="s206" xfId="206" xr:uid="{00000000-0005-0000-0000-0000CE000000}"/>
    <cellStyle name="s207" xfId="207" xr:uid="{00000000-0005-0000-0000-0000CF000000}"/>
    <cellStyle name="s208" xfId="208" xr:uid="{00000000-0005-0000-0000-0000D0000000}"/>
    <cellStyle name="s209" xfId="209" xr:uid="{00000000-0005-0000-0000-0000D1000000}"/>
    <cellStyle name="s21" xfId="21" xr:uid="{00000000-0005-0000-0000-000015000000}"/>
    <cellStyle name="s210" xfId="210" xr:uid="{00000000-0005-0000-0000-0000D2000000}"/>
    <cellStyle name="s211" xfId="211" xr:uid="{00000000-0005-0000-0000-0000D3000000}"/>
    <cellStyle name="s212" xfId="212" xr:uid="{00000000-0005-0000-0000-0000D4000000}"/>
    <cellStyle name="s213" xfId="213" xr:uid="{00000000-0005-0000-0000-0000D5000000}"/>
    <cellStyle name="s214" xfId="214" xr:uid="{00000000-0005-0000-0000-0000D6000000}"/>
    <cellStyle name="s215" xfId="215" xr:uid="{00000000-0005-0000-0000-0000D7000000}"/>
    <cellStyle name="s216" xfId="216" xr:uid="{00000000-0005-0000-0000-0000D8000000}"/>
    <cellStyle name="s217" xfId="217" xr:uid="{00000000-0005-0000-0000-0000D9000000}"/>
    <cellStyle name="s218" xfId="218" xr:uid="{00000000-0005-0000-0000-0000DA000000}"/>
    <cellStyle name="s219" xfId="219" xr:uid="{00000000-0005-0000-0000-0000DB000000}"/>
    <cellStyle name="s22" xfId="22" xr:uid="{00000000-0005-0000-0000-000016000000}"/>
    <cellStyle name="s220" xfId="220" xr:uid="{00000000-0005-0000-0000-0000DC000000}"/>
    <cellStyle name="s221" xfId="221" xr:uid="{00000000-0005-0000-0000-0000DD000000}"/>
    <cellStyle name="s222" xfId="222" xr:uid="{00000000-0005-0000-0000-0000DE000000}"/>
    <cellStyle name="s223" xfId="223" xr:uid="{00000000-0005-0000-0000-0000DF000000}"/>
    <cellStyle name="s224" xfId="224" xr:uid="{00000000-0005-0000-0000-0000E0000000}"/>
    <cellStyle name="s225" xfId="225" xr:uid="{00000000-0005-0000-0000-0000E1000000}"/>
    <cellStyle name="s226" xfId="226" xr:uid="{00000000-0005-0000-0000-0000E2000000}"/>
    <cellStyle name="s227" xfId="227" xr:uid="{00000000-0005-0000-0000-0000E3000000}"/>
    <cellStyle name="s228" xfId="228" xr:uid="{00000000-0005-0000-0000-0000E4000000}"/>
    <cellStyle name="s229" xfId="229" xr:uid="{00000000-0005-0000-0000-0000E5000000}"/>
    <cellStyle name="s23" xfId="23" xr:uid="{00000000-0005-0000-0000-000017000000}"/>
    <cellStyle name="s230" xfId="230" xr:uid="{00000000-0005-0000-0000-0000E6000000}"/>
    <cellStyle name="s231" xfId="231" xr:uid="{00000000-0005-0000-0000-0000E7000000}"/>
    <cellStyle name="s232" xfId="232" xr:uid="{00000000-0005-0000-0000-0000E8000000}"/>
    <cellStyle name="s233" xfId="233" xr:uid="{00000000-0005-0000-0000-0000E9000000}"/>
    <cellStyle name="s234" xfId="234" xr:uid="{00000000-0005-0000-0000-0000EA000000}"/>
    <cellStyle name="s235" xfId="235" xr:uid="{00000000-0005-0000-0000-0000EB000000}"/>
    <cellStyle name="s236" xfId="236" xr:uid="{00000000-0005-0000-0000-0000EC000000}"/>
    <cellStyle name="s237" xfId="237" xr:uid="{00000000-0005-0000-0000-0000ED000000}"/>
    <cellStyle name="s238" xfId="238" xr:uid="{00000000-0005-0000-0000-0000EE000000}"/>
    <cellStyle name="s239" xfId="239" xr:uid="{00000000-0005-0000-0000-0000EF000000}"/>
    <cellStyle name="s24" xfId="24" xr:uid="{00000000-0005-0000-0000-000018000000}"/>
    <cellStyle name="s240" xfId="240" xr:uid="{00000000-0005-0000-0000-0000F0000000}"/>
    <cellStyle name="s241" xfId="241" xr:uid="{00000000-0005-0000-0000-0000F1000000}"/>
    <cellStyle name="s242" xfId="242" xr:uid="{00000000-0005-0000-0000-0000F2000000}"/>
    <cellStyle name="s243" xfId="243" xr:uid="{00000000-0005-0000-0000-0000F3000000}"/>
    <cellStyle name="s244" xfId="244" xr:uid="{00000000-0005-0000-0000-0000F4000000}"/>
    <cellStyle name="s245" xfId="245" xr:uid="{00000000-0005-0000-0000-0000F5000000}"/>
    <cellStyle name="s246" xfId="246" xr:uid="{00000000-0005-0000-0000-0000F6000000}"/>
    <cellStyle name="s247" xfId="247" xr:uid="{00000000-0005-0000-0000-0000F7000000}"/>
    <cellStyle name="s248" xfId="248" xr:uid="{00000000-0005-0000-0000-0000F8000000}"/>
    <cellStyle name="s249" xfId="249" xr:uid="{00000000-0005-0000-0000-0000F9000000}"/>
    <cellStyle name="s25" xfId="25" xr:uid="{00000000-0005-0000-0000-000019000000}"/>
    <cellStyle name="s250" xfId="250" xr:uid="{00000000-0005-0000-0000-0000FA000000}"/>
    <cellStyle name="s251" xfId="251" xr:uid="{00000000-0005-0000-0000-0000FB000000}"/>
    <cellStyle name="s252" xfId="252" xr:uid="{00000000-0005-0000-0000-0000FC000000}"/>
    <cellStyle name="s253" xfId="253" xr:uid="{00000000-0005-0000-0000-0000FD000000}"/>
    <cellStyle name="s254" xfId="254" xr:uid="{00000000-0005-0000-0000-0000FE000000}"/>
    <cellStyle name="s255" xfId="255" xr:uid="{00000000-0005-0000-0000-0000FF000000}"/>
    <cellStyle name="s256" xfId="256" xr:uid="{00000000-0005-0000-0000-000000010000}"/>
    <cellStyle name="s257" xfId="257" xr:uid="{00000000-0005-0000-0000-000001010000}"/>
    <cellStyle name="s258" xfId="258" xr:uid="{00000000-0005-0000-0000-000002010000}"/>
    <cellStyle name="s259" xfId="259" xr:uid="{00000000-0005-0000-0000-000003010000}"/>
    <cellStyle name="s26" xfId="26" xr:uid="{00000000-0005-0000-0000-00001A000000}"/>
    <cellStyle name="s260" xfId="260" xr:uid="{00000000-0005-0000-0000-000004010000}"/>
    <cellStyle name="s261" xfId="261" xr:uid="{00000000-0005-0000-0000-000005010000}"/>
    <cellStyle name="s262" xfId="262" xr:uid="{00000000-0005-0000-0000-000006010000}"/>
    <cellStyle name="s263" xfId="263" xr:uid="{00000000-0005-0000-0000-000007010000}"/>
    <cellStyle name="s264" xfId="264" xr:uid="{00000000-0005-0000-0000-000008010000}"/>
    <cellStyle name="s265" xfId="265" xr:uid="{00000000-0005-0000-0000-000009010000}"/>
    <cellStyle name="s266" xfId="266" xr:uid="{00000000-0005-0000-0000-00000A010000}"/>
    <cellStyle name="s267" xfId="267" xr:uid="{00000000-0005-0000-0000-00000B010000}"/>
    <cellStyle name="s268" xfId="268" xr:uid="{00000000-0005-0000-0000-00000C010000}"/>
    <cellStyle name="s269" xfId="269" xr:uid="{00000000-0005-0000-0000-00000D010000}"/>
    <cellStyle name="s27" xfId="27" xr:uid="{00000000-0005-0000-0000-00001B000000}"/>
    <cellStyle name="s270" xfId="270" xr:uid="{00000000-0005-0000-0000-00000E010000}"/>
    <cellStyle name="s271" xfId="271" xr:uid="{00000000-0005-0000-0000-00000F010000}"/>
    <cellStyle name="s272" xfId="272" xr:uid="{00000000-0005-0000-0000-000010010000}"/>
    <cellStyle name="s273" xfId="273" xr:uid="{00000000-0005-0000-0000-000011010000}"/>
    <cellStyle name="s274" xfId="274" xr:uid="{00000000-0005-0000-0000-000012010000}"/>
    <cellStyle name="s275" xfId="275" xr:uid="{00000000-0005-0000-0000-000013010000}"/>
    <cellStyle name="s276" xfId="276" xr:uid="{00000000-0005-0000-0000-000014010000}"/>
    <cellStyle name="s277" xfId="277" xr:uid="{00000000-0005-0000-0000-000015010000}"/>
    <cellStyle name="s278" xfId="278" xr:uid="{00000000-0005-0000-0000-000016010000}"/>
    <cellStyle name="s279" xfId="279" xr:uid="{00000000-0005-0000-0000-000017010000}"/>
    <cellStyle name="s28" xfId="28" xr:uid="{00000000-0005-0000-0000-00001C000000}"/>
    <cellStyle name="s280" xfId="280" xr:uid="{00000000-0005-0000-0000-000018010000}"/>
    <cellStyle name="s281" xfId="281" xr:uid="{00000000-0005-0000-0000-000019010000}"/>
    <cellStyle name="s282" xfId="282" xr:uid="{00000000-0005-0000-0000-00001A010000}"/>
    <cellStyle name="s283" xfId="283" xr:uid="{00000000-0005-0000-0000-00001B010000}"/>
    <cellStyle name="s284" xfId="284" xr:uid="{00000000-0005-0000-0000-00001C010000}"/>
    <cellStyle name="s285" xfId="285" xr:uid="{00000000-0005-0000-0000-00001D010000}"/>
    <cellStyle name="s286" xfId="286" xr:uid="{00000000-0005-0000-0000-00001E010000}"/>
    <cellStyle name="s287" xfId="287" xr:uid="{00000000-0005-0000-0000-00001F010000}"/>
    <cellStyle name="s288" xfId="288" xr:uid="{00000000-0005-0000-0000-000020010000}"/>
    <cellStyle name="s289" xfId="289" xr:uid="{00000000-0005-0000-0000-000021010000}"/>
    <cellStyle name="s29" xfId="29" xr:uid="{00000000-0005-0000-0000-00001D000000}"/>
    <cellStyle name="s290" xfId="290" xr:uid="{00000000-0005-0000-0000-000022010000}"/>
    <cellStyle name="s291" xfId="291" xr:uid="{00000000-0005-0000-0000-000023010000}"/>
    <cellStyle name="s292" xfId="292" xr:uid="{00000000-0005-0000-0000-000024010000}"/>
    <cellStyle name="s293" xfId="293" xr:uid="{00000000-0005-0000-0000-000025010000}"/>
    <cellStyle name="s294" xfId="294" xr:uid="{00000000-0005-0000-0000-000026010000}"/>
    <cellStyle name="s295" xfId="295" xr:uid="{00000000-0005-0000-0000-000027010000}"/>
    <cellStyle name="s296" xfId="296" xr:uid="{00000000-0005-0000-0000-000028010000}"/>
    <cellStyle name="s297" xfId="297" xr:uid="{00000000-0005-0000-0000-000029010000}"/>
    <cellStyle name="s298" xfId="298" xr:uid="{00000000-0005-0000-0000-00002A010000}"/>
    <cellStyle name="s299" xfId="299" xr:uid="{00000000-0005-0000-0000-00002B010000}"/>
    <cellStyle name="s3" xfId="3" xr:uid="{00000000-0005-0000-0000-000003000000}"/>
    <cellStyle name="s30" xfId="30" xr:uid="{00000000-0005-0000-0000-00001E000000}"/>
    <cellStyle name="s300" xfId="300" xr:uid="{00000000-0005-0000-0000-00002C010000}"/>
    <cellStyle name="s301" xfId="301" xr:uid="{00000000-0005-0000-0000-00002D010000}"/>
    <cellStyle name="s302" xfId="302" xr:uid="{00000000-0005-0000-0000-00002E010000}"/>
    <cellStyle name="s303" xfId="303" xr:uid="{00000000-0005-0000-0000-00002F010000}"/>
    <cellStyle name="s304" xfId="304" xr:uid="{00000000-0005-0000-0000-000030010000}"/>
    <cellStyle name="s305" xfId="305" xr:uid="{00000000-0005-0000-0000-000031010000}"/>
    <cellStyle name="s306" xfId="306" xr:uid="{00000000-0005-0000-0000-000032010000}"/>
    <cellStyle name="s307" xfId="307" xr:uid="{00000000-0005-0000-0000-000033010000}"/>
    <cellStyle name="s308" xfId="308" xr:uid="{00000000-0005-0000-0000-000034010000}"/>
    <cellStyle name="s309" xfId="309" xr:uid="{00000000-0005-0000-0000-000035010000}"/>
    <cellStyle name="s31" xfId="31" xr:uid="{00000000-0005-0000-0000-00001F000000}"/>
    <cellStyle name="s310" xfId="310" xr:uid="{00000000-0005-0000-0000-000036010000}"/>
    <cellStyle name="s311" xfId="311" xr:uid="{00000000-0005-0000-0000-000037010000}"/>
    <cellStyle name="s312" xfId="312" xr:uid="{00000000-0005-0000-0000-000038010000}"/>
    <cellStyle name="s313" xfId="313" xr:uid="{00000000-0005-0000-0000-000039010000}"/>
    <cellStyle name="s314" xfId="314" xr:uid="{00000000-0005-0000-0000-00003A010000}"/>
    <cellStyle name="s315" xfId="315" xr:uid="{00000000-0005-0000-0000-00003B010000}"/>
    <cellStyle name="s316" xfId="316" xr:uid="{00000000-0005-0000-0000-00003C010000}"/>
    <cellStyle name="s317" xfId="317" xr:uid="{00000000-0005-0000-0000-00003D010000}"/>
    <cellStyle name="s318" xfId="318" xr:uid="{00000000-0005-0000-0000-00003E010000}"/>
    <cellStyle name="s319" xfId="319" xr:uid="{00000000-0005-0000-0000-00003F010000}"/>
    <cellStyle name="s32" xfId="32" xr:uid="{00000000-0005-0000-0000-000020000000}"/>
    <cellStyle name="s320" xfId="320" xr:uid="{00000000-0005-0000-0000-000040010000}"/>
    <cellStyle name="s321" xfId="321" xr:uid="{00000000-0005-0000-0000-000041010000}"/>
    <cellStyle name="s322" xfId="322" xr:uid="{00000000-0005-0000-0000-000042010000}"/>
    <cellStyle name="s323" xfId="323" xr:uid="{00000000-0005-0000-0000-000043010000}"/>
    <cellStyle name="s324" xfId="324" xr:uid="{00000000-0005-0000-0000-000044010000}"/>
    <cellStyle name="s325" xfId="325" xr:uid="{00000000-0005-0000-0000-000045010000}"/>
    <cellStyle name="s326" xfId="326" xr:uid="{00000000-0005-0000-0000-000046010000}"/>
    <cellStyle name="s327" xfId="327" xr:uid="{00000000-0005-0000-0000-000047010000}"/>
    <cellStyle name="s328" xfId="328" xr:uid="{00000000-0005-0000-0000-000048010000}"/>
    <cellStyle name="s329" xfId="329" xr:uid="{00000000-0005-0000-0000-000049010000}"/>
    <cellStyle name="s33" xfId="33" xr:uid="{00000000-0005-0000-0000-000021000000}"/>
    <cellStyle name="s330" xfId="330" xr:uid="{00000000-0005-0000-0000-00004A010000}"/>
    <cellStyle name="s331" xfId="331" xr:uid="{00000000-0005-0000-0000-00004B010000}"/>
    <cellStyle name="s332" xfId="332" xr:uid="{00000000-0005-0000-0000-00004C010000}"/>
    <cellStyle name="s333" xfId="333" xr:uid="{00000000-0005-0000-0000-00004D010000}"/>
    <cellStyle name="s334" xfId="334" xr:uid="{00000000-0005-0000-0000-00004E010000}"/>
    <cellStyle name="s335" xfId="335" xr:uid="{00000000-0005-0000-0000-00004F010000}"/>
    <cellStyle name="s336" xfId="336" xr:uid="{00000000-0005-0000-0000-000050010000}"/>
    <cellStyle name="s337" xfId="337" xr:uid="{00000000-0005-0000-0000-000051010000}"/>
    <cellStyle name="s338" xfId="338" xr:uid="{00000000-0005-0000-0000-000052010000}"/>
    <cellStyle name="s339" xfId="339" xr:uid="{00000000-0005-0000-0000-000053010000}"/>
    <cellStyle name="s34" xfId="34" xr:uid="{00000000-0005-0000-0000-000022000000}"/>
    <cellStyle name="s340" xfId="340" xr:uid="{00000000-0005-0000-0000-000054010000}"/>
    <cellStyle name="s341" xfId="341" xr:uid="{00000000-0005-0000-0000-000055010000}"/>
    <cellStyle name="s342" xfId="342" xr:uid="{00000000-0005-0000-0000-000056010000}"/>
    <cellStyle name="s343" xfId="343" xr:uid="{00000000-0005-0000-0000-000057010000}"/>
    <cellStyle name="s344" xfId="344" xr:uid="{00000000-0005-0000-0000-000058010000}"/>
    <cellStyle name="s345" xfId="345" xr:uid="{00000000-0005-0000-0000-000059010000}"/>
    <cellStyle name="s346" xfId="346" xr:uid="{00000000-0005-0000-0000-00005A010000}"/>
    <cellStyle name="s347" xfId="347" xr:uid="{00000000-0005-0000-0000-00005B010000}"/>
    <cellStyle name="s348" xfId="348" xr:uid="{00000000-0005-0000-0000-00005C010000}"/>
    <cellStyle name="s349" xfId="349" xr:uid="{00000000-0005-0000-0000-00005D010000}"/>
    <cellStyle name="s35" xfId="35" xr:uid="{00000000-0005-0000-0000-000023000000}"/>
    <cellStyle name="s350" xfId="350" xr:uid="{00000000-0005-0000-0000-00005E010000}"/>
    <cellStyle name="s351" xfId="351" xr:uid="{00000000-0005-0000-0000-00005F010000}"/>
    <cellStyle name="s352" xfId="352" xr:uid="{00000000-0005-0000-0000-000060010000}"/>
    <cellStyle name="s353" xfId="353" xr:uid="{00000000-0005-0000-0000-000061010000}"/>
    <cellStyle name="s354" xfId="354" xr:uid="{00000000-0005-0000-0000-000062010000}"/>
    <cellStyle name="s355" xfId="355" xr:uid="{00000000-0005-0000-0000-000063010000}"/>
    <cellStyle name="s356" xfId="356" xr:uid="{00000000-0005-0000-0000-000064010000}"/>
    <cellStyle name="s357" xfId="357" xr:uid="{00000000-0005-0000-0000-000065010000}"/>
    <cellStyle name="s358" xfId="358" xr:uid="{00000000-0005-0000-0000-000066010000}"/>
    <cellStyle name="s359" xfId="359" xr:uid="{00000000-0005-0000-0000-000067010000}"/>
    <cellStyle name="s36" xfId="36" xr:uid="{00000000-0005-0000-0000-000024000000}"/>
    <cellStyle name="s360" xfId="360" xr:uid="{00000000-0005-0000-0000-000068010000}"/>
    <cellStyle name="s361" xfId="361" xr:uid="{00000000-0005-0000-0000-000069010000}"/>
    <cellStyle name="s362" xfId="362" xr:uid="{00000000-0005-0000-0000-00006A010000}"/>
    <cellStyle name="s363" xfId="363" xr:uid="{00000000-0005-0000-0000-00006B010000}"/>
    <cellStyle name="s364" xfId="364" xr:uid="{00000000-0005-0000-0000-00006C010000}"/>
    <cellStyle name="s365" xfId="365" xr:uid="{00000000-0005-0000-0000-00006D010000}"/>
    <cellStyle name="s366" xfId="366" xr:uid="{00000000-0005-0000-0000-00006E010000}"/>
    <cellStyle name="s367" xfId="367" xr:uid="{00000000-0005-0000-0000-00006F010000}"/>
    <cellStyle name="s368" xfId="368" xr:uid="{00000000-0005-0000-0000-000070010000}"/>
    <cellStyle name="s369" xfId="369" xr:uid="{00000000-0005-0000-0000-000071010000}"/>
    <cellStyle name="s37" xfId="37" xr:uid="{00000000-0005-0000-0000-000025000000}"/>
    <cellStyle name="s370" xfId="370" xr:uid="{00000000-0005-0000-0000-000072010000}"/>
    <cellStyle name="s371" xfId="371" xr:uid="{00000000-0005-0000-0000-000073010000}"/>
    <cellStyle name="s372" xfId="372" xr:uid="{00000000-0005-0000-0000-000074010000}"/>
    <cellStyle name="s373" xfId="373" xr:uid="{00000000-0005-0000-0000-000075010000}"/>
    <cellStyle name="s374" xfId="374" xr:uid="{00000000-0005-0000-0000-000076010000}"/>
    <cellStyle name="s375" xfId="375" xr:uid="{00000000-0005-0000-0000-000077010000}"/>
    <cellStyle name="s376" xfId="376" xr:uid="{00000000-0005-0000-0000-000078010000}"/>
    <cellStyle name="s377" xfId="377" xr:uid="{00000000-0005-0000-0000-000079010000}"/>
    <cellStyle name="s378" xfId="378" xr:uid="{00000000-0005-0000-0000-00007A010000}"/>
    <cellStyle name="s379" xfId="379" xr:uid="{00000000-0005-0000-0000-00007B010000}"/>
    <cellStyle name="s38" xfId="38" xr:uid="{00000000-0005-0000-0000-000026000000}"/>
    <cellStyle name="s380" xfId="380" xr:uid="{00000000-0005-0000-0000-00007C010000}"/>
    <cellStyle name="s381" xfId="381" xr:uid="{00000000-0005-0000-0000-00007D010000}"/>
    <cellStyle name="s382" xfId="382" xr:uid="{00000000-0005-0000-0000-00007E010000}"/>
    <cellStyle name="s383" xfId="383" xr:uid="{00000000-0005-0000-0000-00007F010000}"/>
    <cellStyle name="s384" xfId="384" xr:uid="{00000000-0005-0000-0000-000080010000}"/>
    <cellStyle name="s385" xfId="385" xr:uid="{00000000-0005-0000-0000-000081010000}"/>
    <cellStyle name="s386" xfId="386" xr:uid="{00000000-0005-0000-0000-000082010000}"/>
    <cellStyle name="s387" xfId="387" xr:uid="{00000000-0005-0000-0000-000083010000}"/>
    <cellStyle name="s388" xfId="388" xr:uid="{00000000-0005-0000-0000-000084010000}"/>
    <cellStyle name="s389" xfId="389" xr:uid="{00000000-0005-0000-0000-000085010000}"/>
    <cellStyle name="s39" xfId="39" xr:uid="{00000000-0005-0000-0000-000027000000}"/>
    <cellStyle name="s390" xfId="390" xr:uid="{00000000-0005-0000-0000-000086010000}"/>
    <cellStyle name="s391" xfId="391" xr:uid="{00000000-0005-0000-0000-000087010000}"/>
    <cellStyle name="s392" xfId="392" xr:uid="{00000000-0005-0000-0000-000088010000}"/>
    <cellStyle name="s393" xfId="393" xr:uid="{00000000-0005-0000-0000-000089010000}"/>
    <cellStyle name="s394" xfId="394" xr:uid="{00000000-0005-0000-0000-00008A010000}"/>
    <cellStyle name="s395" xfId="395" xr:uid="{00000000-0005-0000-0000-00008B010000}"/>
    <cellStyle name="s396" xfId="396" xr:uid="{00000000-0005-0000-0000-00008C010000}"/>
    <cellStyle name="s397" xfId="397" xr:uid="{00000000-0005-0000-0000-00008D010000}"/>
    <cellStyle name="s398" xfId="398" xr:uid="{00000000-0005-0000-0000-00008E010000}"/>
    <cellStyle name="s399" xfId="399" xr:uid="{00000000-0005-0000-0000-00008F010000}"/>
    <cellStyle name="s4" xfId="4" xr:uid="{00000000-0005-0000-0000-000004000000}"/>
    <cellStyle name="s40" xfId="40" xr:uid="{00000000-0005-0000-0000-000028000000}"/>
    <cellStyle name="s400" xfId="400" xr:uid="{00000000-0005-0000-0000-000090010000}"/>
    <cellStyle name="s401" xfId="401" xr:uid="{00000000-0005-0000-0000-000091010000}"/>
    <cellStyle name="s402" xfId="402" xr:uid="{00000000-0005-0000-0000-000092010000}"/>
    <cellStyle name="s403" xfId="403" xr:uid="{00000000-0005-0000-0000-000093010000}"/>
    <cellStyle name="s404" xfId="404" xr:uid="{00000000-0005-0000-0000-000094010000}"/>
    <cellStyle name="s405" xfId="405" xr:uid="{00000000-0005-0000-0000-000095010000}"/>
    <cellStyle name="s406" xfId="406" xr:uid="{00000000-0005-0000-0000-000096010000}"/>
    <cellStyle name="s407" xfId="407" xr:uid="{00000000-0005-0000-0000-000097010000}"/>
    <cellStyle name="s408" xfId="408" xr:uid="{00000000-0005-0000-0000-000098010000}"/>
    <cellStyle name="s409" xfId="409" xr:uid="{00000000-0005-0000-0000-000099010000}"/>
    <cellStyle name="s41" xfId="41" xr:uid="{00000000-0005-0000-0000-000029000000}"/>
    <cellStyle name="s410" xfId="410" xr:uid="{00000000-0005-0000-0000-00009A010000}"/>
    <cellStyle name="s411" xfId="411" xr:uid="{00000000-0005-0000-0000-00009B010000}"/>
    <cellStyle name="s412" xfId="412" xr:uid="{00000000-0005-0000-0000-00009C010000}"/>
    <cellStyle name="s413" xfId="413" xr:uid="{00000000-0005-0000-0000-00009D010000}"/>
    <cellStyle name="s414" xfId="414" xr:uid="{00000000-0005-0000-0000-00009E010000}"/>
    <cellStyle name="s415" xfId="415" xr:uid="{00000000-0005-0000-0000-00009F010000}"/>
    <cellStyle name="s416" xfId="416" xr:uid="{00000000-0005-0000-0000-0000A0010000}"/>
    <cellStyle name="s417" xfId="417" xr:uid="{00000000-0005-0000-0000-0000A1010000}"/>
    <cellStyle name="s418" xfId="418" xr:uid="{00000000-0005-0000-0000-0000A2010000}"/>
    <cellStyle name="s419" xfId="419" xr:uid="{00000000-0005-0000-0000-0000A3010000}"/>
    <cellStyle name="s42" xfId="42" xr:uid="{00000000-0005-0000-0000-00002A000000}"/>
    <cellStyle name="s420" xfId="420" xr:uid="{00000000-0005-0000-0000-0000A4010000}"/>
    <cellStyle name="s421" xfId="421" xr:uid="{00000000-0005-0000-0000-0000A5010000}"/>
    <cellStyle name="s422" xfId="422" xr:uid="{00000000-0005-0000-0000-0000A6010000}"/>
    <cellStyle name="s423" xfId="423" xr:uid="{00000000-0005-0000-0000-0000A7010000}"/>
    <cellStyle name="s424" xfId="424" xr:uid="{00000000-0005-0000-0000-0000A8010000}"/>
    <cellStyle name="s425" xfId="425" xr:uid="{00000000-0005-0000-0000-0000A9010000}"/>
    <cellStyle name="s426" xfId="426" xr:uid="{00000000-0005-0000-0000-0000AA010000}"/>
    <cellStyle name="s427" xfId="427" xr:uid="{00000000-0005-0000-0000-0000AB010000}"/>
    <cellStyle name="s428" xfId="428" xr:uid="{00000000-0005-0000-0000-0000AC010000}"/>
    <cellStyle name="s429" xfId="429" xr:uid="{00000000-0005-0000-0000-0000AD010000}"/>
    <cellStyle name="s43" xfId="43" xr:uid="{00000000-0005-0000-0000-00002B000000}"/>
    <cellStyle name="s430" xfId="430" xr:uid="{00000000-0005-0000-0000-0000AE010000}"/>
    <cellStyle name="s431" xfId="431" xr:uid="{00000000-0005-0000-0000-0000AF010000}"/>
    <cellStyle name="s432" xfId="432" xr:uid="{00000000-0005-0000-0000-0000B0010000}"/>
    <cellStyle name="s433" xfId="433" xr:uid="{00000000-0005-0000-0000-0000B1010000}"/>
    <cellStyle name="s434" xfId="434" xr:uid="{00000000-0005-0000-0000-0000B2010000}"/>
    <cellStyle name="s435" xfId="435" xr:uid="{00000000-0005-0000-0000-0000B3010000}"/>
    <cellStyle name="s436" xfId="436" xr:uid="{00000000-0005-0000-0000-0000B4010000}"/>
    <cellStyle name="s437" xfId="437" xr:uid="{00000000-0005-0000-0000-0000B5010000}"/>
    <cellStyle name="s438" xfId="438" xr:uid="{00000000-0005-0000-0000-0000B6010000}"/>
    <cellStyle name="s439" xfId="439" xr:uid="{00000000-0005-0000-0000-0000B7010000}"/>
    <cellStyle name="s44" xfId="44" xr:uid="{00000000-0005-0000-0000-00002C000000}"/>
    <cellStyle name="s440" xfId="440" xr:uid="{00000000-0005-0000-0000-0000B8010000}"/>
    <cellStyle name="s441" xfId="441" xr:uid="{00000000-0005-0000-0000-0000B9010000}"/>
    <cellStyle name="s442" xfId="442" xr:uid="{00000000-0005-0000-0000-0000BA010000}"/>
    <cellStyle name="s443" xfId="443" xr:uid="{00000000-0005-0000-0000-0000BB010000}"/>
    <cellStyle name="s444" xfId="444" xr:uid="{00000000-0005-0000-0000-0000BC010000}"/>
    <cellStyle name="s445" xfId="445" xr:uid="{00000000-0005-0000-0000-0000BD010000}"/>
    <cellStyle name="s446" xfId="446" xr:uid="{00000000-0005-0000-0000-0000BE010000}"/>
    <cellStyle name="s447" xfId="447" xr:uid="{00000000-0005-0000-0000-0000BF010000}"/>
    <cellStyle name="s448" xfId="448" xr:uid="{00000000-0005-0000-0000-0000C0010000}"/>
    <cellStyle name="s449" xfId="449" xr:uid="{00000000-0005-0000-0000-0000C1010000}"/>
    <cellStyle name="s45" xfId="45" xr:uid="{00000000-0005-0000-0000-00002D000000}"/>
    <cellStyle name="s450" xfId="450" xr:uid="{00000000-0005-0000-0000-0000C2010000}"/>
    <cellStyle name="s451" xfId="451" xr:uid="{00000000-0005-0000-0000-0000C3010000}"/>
    <cellStyle name="s452" xfId="452" xr:uid="{00000000-0005-0000-0000-0000C4010000}"/>
    <cellStyle name="s453" xfId="453" xr:uid="{00000000-0005-0000-0000-0000C5010000}"/>
    <cellStyle name="s454" xfId="454" xr:uid="{00000000-0005-0000-0000-0000C6010000}"/>
    <cellStyle name="s455" xfId="455" xr:uid="{00000000-0005-0000-0000-0000C7010000}"/>
    <cellStyle name="s456" xfId="456" xr:uid="{00000000-0005-0000-0000-0000C8010000}"/>
    <cellStyle name="s457" xfId="457" xr:uid="{00000000-0005-0000-0000-0000C9010000}"/>
    <cellStyle name="s458" xfId="458" xr:uid="{00000000-0005-0000-0000-0000CA010000}"/>
    <cellStyle name="s459" xfId="459" xr:uid="{00000000-0005-0000-0000-0000CB010000}"/>
    <cellStyle name="s46" xfId="46" xr:uid="{00000000-0005-0000-0000-00002E000000}"/>
    <cellStyle name="s460" xfId="460" xr:uid="{00000000-0005-0000-0000-0000CC010000}"/>
    <cellStyle name="s461" xfId="461" xr:uid="{00000000-0005-0000-0000-0000CD010000}"/>
    <cellStyle name="s462" xfId="462" xr:uid="{00000000-0005-0000-0000-0000CE010000}"/>
    <cellStyle name="s463" xfId="463" xr:uid="{00000000-0005-0000-0000-0000CF010000}"/>
    <cellStyle name="s464" xfId="464" xr:uid="{00000000-0005-0000-0000-0000D0010000}"/>
    <cellStyle name="s465" xfId="465" xr:uid="{00000000-0005-0000-0000-0000D1010000}"/>
    <cellStyle name="s466" xfId="466" xr:uid="{00000000-0005-0000-0000-0000D2010000}"/>
    <cellStyle name="s467" xfId="467" xr:uid="{00000000-0005-0000-0000-0000D3010000}"/>
    <cellStyle name="s468" xfId="468" xr:uid="{00000000-0005-0000-0000-0000D4010000}"/>
    <cellStyle name="s469" xfId="469" xr:uid="{00000000-0005-0000-0000-0000D5010000}"/>
    <cellStyle name="s47" xfId="47" xr:uid="{00000000-0005-0000-0000-00002F000000}"/>
    <cellStyle name="s470" xfId="470" xr:uid="{00000000-0005-0000-0000-0000D6010000}"/>
    <cellStyle name="s471" xfId="471" xr:uid="{00000000-0005-0000-0000-0000D7010000}"/>
    <cellStyle name="s472" xfId="472" xr:uid="{00000000-0005-0000-0000-0000D8010000}"/>
    <cellStyle name="s473" xfId="473" xr:uid="{00000000-0005-0000-0000-0000D9010000}"/>
    <cellStyle name="s474" xfId="474" xr:uid="{00000000-0005-0000-0000-0000DA010000}"/>
    <cellStyle name="s475" xfId="475" xr:uid="{00000000-0005-0000-0000-0000DB010000}"/>
    <cellStyle name="s476" xfId="476" xr:uid="{00000000-0005-0000-0000-0000DC010000}"/>
    <cellStyle name="s477" xfId="477" xr:uid="{00000000-0005-0000-0000-0000DD010000}"/>
    <cellStyle name="s478" xfId="478" xr:uid="{00000000-0005-0000-0000-0000DE010000}"/>
    <cellStyle name="s479" xfId="479" xr:uid="{00000000-0005-0000-0000-0000DF010000}"/>
    <cellStyle name="s48" xfId="48" xr:uid="{00000000-0005-0000-0000-000030000000}"/>
    <cellStyle name="s480" xfId="480" xr:uid="{00000000-0005-0000-0000-0000E0010000}"/>
    <cellStyle name="s481" xfId="481" xr:uid="{00000000-0005-0000-0000-0000E1010000}"/>
    <cellStyle name="s482" xfId="482" xr:uid="{00000000-0005-0000-0000-0000E2010000}"/>
    <cellStyle name="s483" xfId="483" xr:uid="{00000000-0005-0000-0000-0000E3010000}"/>
    <cellStyle name="s484" xfId="484" xr:uid="{00000000-0005-0000-0000-0000E4010000}"/>
    <cellStyle name="s485" xfId="485" xr:uid="{00000000-0005-0000-0000-0000E5010000}"/>
    <cellStyle name="s486" xfId="486" xr:uid="{00000000-0005-0000-0000-0000E6010000}"/>
    <cellStyle name="s487" xfId="487" xr:uid="{00000000-0005-0000-0000-0000E7010000}"/>
    <cellStyle name="s488" xfId="488" xr:uid="{00000000-0005-0000-0000-0000E8010000}"/>
    <cellStyle name="s489" xfId="489" xr:uid="{00000000-0005-0000-0000-0000E9010000}"/>
    <cellStyle name="s49" xfId="49" xr:uid="{00000000-0005-0000-0000-000031000000}"/>
    <cellStyle name="s490" xfId="490" xr:uid="{00000000-0005-0000-0000-0000EA010000}"/>
    <cellStyle name="s491" xfId="491" xr:uid="{00000000-0005-0000-0000-0000EB010000}"/>
    <cellStyle name="s492" xfId="492" xr:uid="{00000000-0005-0000-0000-0000EC010000}"/>
    <cellStyle name="s493" xfId="493" xr:uid="{00000000-0005-0000-0000-0000ED010000}"/>
    <cellStyle name="s494" xfId="494" xr:uid="{00000000-0005-0000-0000-0000EE010000}"/>
    <cellStyle name="s495" xfId="495" xr:uid="{00000000-0005-0000-0000-0000EF010000}"/>
    <cellStyle name="s496" xfId="496" xr:uid="{00000000-0005-0000-0000-0000F0010000}"/>
    <cellStyle name="s497" xfId="497" xr:uid="{00000000-0005-0000-0000-0000F1010000}"/>
    <cellStyle name="s498" xfId="498" xr:uid="{00000000-0005-0000-0000-0000F2010000}"/>
    <cellStyle name="s499" xfId="499" xr:uid="{00000000-0005-0000-0000-0000F3010000}"/>
    <cellStyle name="s5" xfId="5" xr:uid="{00000000-0005-0000-0000-000005000000}"/>
    <cellStyle name="s50" xfId="50" xr:uid="{00000000-0005-0000-0000-000032000000}"/>
    <cellStyle name="s500" xfId="500" xr:uid="{00000000-0005-0000-0000-0000F4010000}"/>
    <cellStyle name="s501" xfId="501" xr:uid="{00000000-0005-0000-0000-0000F5010000}"/>
    <cellStyle name="s502" xfId="502" xr:uid="{00000000-0005-0000-0000-0000F6010000}"/>
    <cellStyle name="s503" xfId="503" xr:uid="{00000000-0005-0000-0000-0000F7010000}"/>
    <cellStyle name="s504" xfId="504" xr:uid="{00000000-0005-0000-0000-0000F8010000}"/>
    <cellStyle name="s505" xfId="505" xr:uid="{00000000-0005-0000-0000-0000F9010000}"/>
    <cellStyle name="s506" xfId="506" xr:uid="{00000000-0005-0000-0000-0000FA010000}"/>
    <cellStyle name="s507" xfId="507" xr:uid="{00000000-0005-0000-0000-0000FB010000}"/>
    <cellStyle name="s508" xfId="508" xr:uid="{00000000-0005-0000-0000-0000FC010000}"/>
    <cellStyle name="s509" xfId="509" xr:uid="{00000000-0005-0000-0000-0000FD010000}"/>
    <cellStyle name="s51" xfId="51" xr:uid="{00000000-0005-0000-0000-000033000000}"/>
    <cellStyle name="s510" xfId="510" xr:uid="{00000000-0005-0000-0000-0000FE010000}"/>
    <cellStyle name="s511" xfId="511" xr:uid="{00000000-0005-0000-0000-0000FF010000}"/>
    <cellStyle name="s512" xfId="512" xr:uid="{00000000-0005-0000-0000-000000020000}"/>
    <cellStyle name="s513" xfId="513" xr:uid="{00000000-0005-0000-0000-000001020000}"/>
    <cellStyle name="s514" xfId="514" xr:uid="{00000000-0005-0000-0000-000002020000}"/>
    <cellStyle name="s515" xfId="515" xr:uid="{00000000-0005-0000-0000-000003020000}"/>
    <cellStyle name="s516" xfId="516" xr:uid="{00000000-0005-0000-0000-000004020000}"/>
    <cellStyle name="s517" xfId="517" xr:uid="{00000000-0005-0000-0000-000005020000}"/>
    <cellStyle name="s518" xfId="518" xr:uid="{00000000-0005-0000-0000-000006020000}"/>
    <cellStyle name="s519" xfId="519" xr:uid="{00000000-0005-0000-0000-000007020000}"/>
    <cellStyle name="s52" xfId="52" xr:uid="{00000000-0005-0000-0000-000034000000}"/>
    <cellStyle name="s520" xfId="520" xr:uid="{00000000-0005-0000-0000-000008020000}"/>
    <cellStyle name="s521" xfId="521" xr:uid="{00000000-0005-0000-0000-000009020000}"/>
    <cellStyle name="s522" xfId="522" xr:uid="{00000000-0005-0000-0000-00000A020000}"/>
    <cellStyle name="s523" xfId="523" xr:uid="{00000000-0005-0000-0000-00000B020000}"/>
    <cellStyle name="s524" xfId="524" xr:uid="{00000000-0005-0000-0000-00000C020000}"/>
    <cellStyle name="s525" xfId="525" xr:uid="{00000000-0005-0000-0000-00000D020000}"/>
    <cellStyle name="s526" xfId="526" xr:uid="{00000000-0005-0000-0000-00000E020000}"/>
    <cellStyle name="s527" xfId="527" xr:uid="{00000000-0005-0000-0000-00000F020000}"/>
    <cellStyle name="s528" xfId="528" xr:uid="{00000000-0005-0000-0000-000010020000}"/>
    <cellStyle name="s529" xfId="529" xr:uid="{00000000-0005-0000-0000-000011020000}"/>
    <cellStyle name="s53" xfId="53" xr:uid="{00000000-0005-0000-0000-000035000000}"/>
    <cellStyle name="s530" xfId="530" xr:uid="{00000000-0005-0000-0000-000012020000}"/>
    <cellStyle name="s531" xfId="531" xr:uid="{00000000-0005-0000-0000-000013020000}"/>
    <cellStyle name="s532" xfId="532" xr:uid="{00000000-0005-0000-0000-000014020000}"/>
    <cellStyle name="s533" xfId="533" xr:uid="{00000000-0005-0000-0000-000015020000}"/>
    <cellStyle name="s534" xfId="534" xr:uid="{00000000-0005-0000-0000-000016020000}"/>
    <cellStyle name="s535" xfId="535" xr:uid="{00000000-0005-0000-0000-000017020000}"/>
    <cellStyle name="s536" xfId="536" xr:uid="{00000000-0005-0000-0000-000018020000}"/>
    <cellStyle name="s537" xfId="537" xr:uid="{00000000-0005-0000-0000-000019020000}"/>
    <cellStyle name="s538" xfId="538" xr:uid="{00000000-0005-0000-0000-00001A020000}"/>
    <cellStyle name="s539" xfId="539" xr:uid="{00000000-0005-0000-0000-00001B020000}"/>
    <cellStyle name="s54" xfId="54" xr:uid="{00000000-0005-0000-0000-000036000000}"/>
    <cellStyle name="s540" xfId="540" xr:uid="{00000000-0005-0000-0000-00001C020000}"/>
    <cellStyle name="s541" xfId="541" xr:uid="{00000000-0005-0000-0000-00001D020000}"/>
    <cellStyle name="s542" xfId="542" xr:uid="{00000000-0005-0000-0000-00001E020000}"/>
    <cellStyle name="s543" xfId="543" xr:uid="{00000000-0005-0000-0000-00001F020000}"/>
    <cellStyle name="s544" xfId="544" xr:uid="{00000000-0005-0000-0000-000020020000}"/>
    <cellStyle name="s545" xfId="545" xr:uid="{00000000-0005-0000-0000-000021020000}"/>
    <cellStyle name="s546" xfId="546" xr:uid="{00000000-0005-0000-0000-000022020000}"/>
    <cellStyle name="s547" xfId="547" xr:uid="{00000000-0005-0000-0000-000023020000}"/>
    <cellStyle name="s548" xfId="548" xr:uid="{00000000-0005-0000-0000-000024020000}"/>
    <cellStyle name="s549" xfId="549" xr:uid="{00000000-0005-0000-0000-000025020000}"/>
    <cellStyle name="s55" xfId="55" xr:uid="{00000000-0005-0000-0000-000037000000}"/>
    <cellStyle name="s550" xfId="550" xr:uid="{00000000-0005-0000-0000-000026020000}"/>
    <cellStyle name="s551" xfId="551" xr:uid="{00000000-0005-0000-0000-000027020000}"/>
    <cellStyle name="s552" xfId="552" xr:uid="{00000000-0005-0000-0000-000028020000}"/>
    <cellStyle name="s553" xfId="553" xr:uid="{00000000-0005-0000-0000-000029020000}"/>
    <cellStyle name="s554" xfId="554" xr:uid="{00000000-0005-0000-0000-00002A020000}"/>
    <cellStyle name="s555" xfId="555" xr:uid="{00000000-0005-0000-0000-00002B020000}"/>
    <cellStyle name="s556" xfId="556" xr:uid="{00000000-0005-0000-0000-00002C020000}"/>
    <cellStyle name="s557" xfId="557" xr:uid="{00000000-0005-0000-0000-00002D020000}"/>
    <cellStyle name="s558" xfId="558" xr:uid="{00000000-0005-0000-0000-00002E020000}"/>
    <cellStyle name="s559" xfId="559" xr:uid="{00000000-0005-0000-0000-00002F020000}"/>
    <cellStyle name="s56" xfId="56" xr:uid="{00000000-0005-0000-0000-000038000000}"/>
    <cellStyle name="s560" xfId="560" xr:uid="{00000000-0005-0000-0000-000030020000}"/>
    <cellStyle name="s561" xfId="561" xr:uid="{00000000-0005-0000-0000-000031020000}"/>
    <cellStyle name="s562" xfId="562" xr:uid="{00000000-0005-0000-0000-000032020000}"/>
    <cellStyle name="s563" xfId="563" xr:uid="{00000000-0005-0000-0000-000033020000}"/>
    <cellStyle name="s564" xfId="564" xr:uid="{00000000-0005-0000-0000-000034020000}"/>
    <cellStyle name="s565" xfId="565" xr:uid="{00000000-0005-0000-0000-000035020000}"/>
    <cellStyle name="s566" xfId="566" xr:uid="{00000000-0005-0000-0000-000036020000}"/>
    <cellStyle name="s567" xfId="567" xr:uid="{00000000-0005-0000-0000-000037020000}"/>
    <cellStyle name="s568" xfId="568" xr:uid="{00000000-0005-0000-0000-000038020000}"/>
    <cellStyle name="s569" xfId="569" xr:uid="{00000000-0005-0000-0000-000039020000}"/>
    <cellStyle name="s57" xfId="57" xr:uid="{00000000-0005-0000-0000-000039000000}"/>
    <cellStyle name="s570" xfId="570" xr:uid="{00000000-0005-0000-0000-00003A020000}"/>
    <cellStyle name="s571" xfId="571" xr:uid="{00000000-0005-0000-0000-00003B020000}"/>
    <cellStyle name="s572" xfId="572" xr:uid="{00000000-0005-0000-0000-00003C020000}"/>
    <cellStyle name="s573" xfId="573" xr:uid="{00000000-0005-0000-0000-00003D020000}"/>
    <cellStyle name="s574" xfId="574" xr:uid="{00000000-0005-0000-0000-00003E020000}"/>
    <cellStyle name="s575" xfId="575" xr:uid="{00000000-0005-0000-0000-00003F020000}"/>
    <cellStyle name="s576" xfId="576" xr:uid="{00000000-0005-0000-0000-000040020000}"/>
    <cellStyle name="s577" xfId="577" xr:uid="{00000000-0005-0000-0000-000041020000}"/>
    <cellStyle name="s578" xfId="578" xr:uid="{00000000-0005-0000-0000-000042020000}"/>
    <cellStyle name="s579" xfId="579" xr:uid="{00000000-0005-0000-0000-000043020000}"/>
    <cellStyle name="s58" xfId="58" xr:uid="{00000000-0005-0000-0000-00003A000000}"/>
    <cellStyle name="s580" xfId="580" xr:uid="{00000000-0005-0000-0000-000044020000}"/>
    <cellStyle name="s581" xfId="581" xr:uid="{00000000-0005-0000-0000-000045020000}"/>
    <cellStyle name="s582" xfId="582" xr:uid="{00000000-0005-0000-0000-000046020000}"/>
    <cellStyle name="s583" xfId="583" xr:uid="{00000000-0005-0000-0000-000047020000}"/>
    <cellStyle name="s584" xfId="584" xr:uid="{00000000-0005-0000-0000-000048020000}"/>
    <cellStyle name="s585" xfId="585" xr:uid="{00000000-0005-0000-0000-000049020000}"/>
    <cellStyle name="s586" xfId="586" xr:uid="{00000000-0005-0000-0000-00004A020000}"/>
    <cellStyle name="s587" xfId="587" xr:uid="{00000000-0005-0000-0000-00004B020000}"/>
    <cellStyle name="s588" xfId="588" xr:uid="{00000000-0005-0000-0000-00004C020000}"/>
    <cellStyle name="s589" xfId="589" xr:uid="{00000000-0005-0000-0000-00004D020000}"/>
    <cellStyle name="s59" xfId="59" xr:uid="{00000000-0005-0000-0000-00003B000000}"/>
    <cellStyle name="s590" xfId="590" xr:uid="{00000000-0005-0000-0000-00004E020000}"/>
    <cellStyle name="s591" xfId="591" xr:uid="{00000000-0005-0000-0000-00004F020000}"/>
    <cellStyle name="s592" xfId="592" xr:uid="{00000000-0005-0000-0000-000050020000}"/>
    <cellStyle name="s593" xfId="593" xr:uid="{00000000-0005-0000-0000-000051020000}"/>
    <cellStyle name="s594" xfId="594" xr:uid="{00000000-0005-0000-0000-000052020000}"/>
    <cellStyle name="s595" xfId="595" xr:uid="{00000000-0005-0000-0000-000053020000}"/>
    <cellStyle name="s596" xfId="596" xr:uid="{00000000-0005-0000-0000-000054020000}"/>
    <cellStyle name="s597" xfId="597" xr:uid="{00000000-0005-0000-0000-000055020000}"/>
    <cellStyle name="s598" xfId="598" xr:uid="{00000000-0005-0000-0000-000056020000}"/>
    <cellStyle name="s599" xfId="599" xr:uid="{00000000-0005-0000-0000-000057020000}"/>
    <cellStyle name="s6" xfId="6" xr:uid="{00000000-0005-0000-0000-000006000000}"/>
    <cellStyle name="s60" xfId="60" xr:uid="{00000000-0005-0000-0000-00003C000000}"/>
    <cellStyle name="s600" xfId="600" xr:uid="{00000000-0005-0000-0000-000058020000}"/>
    <cellStyle name="s601" xfId="601" xr:uid="{00000000-0005-0000-0000-000059020000}"/>
    <cellStyle name="s602" xfId="602" xr:uid="{00000000-0005-0000-0000-00005A020000}"/>
    <cellStyle name="s603" xfId="603" xr:uid="{00000000-0005-0000-0000-00005B020000}"/>
    <cellStyle name="s604" xfId="604" xr:uid="{00000000-0005-0000-0000-00005C020000}"/>
    <cellStyle name="s605" xfId="605" xr:uid="{00000000-0005-0000-0000-00005D020000}"/>
    <cellStyle name="s606" xfId="606" xr:uid="{00000000-0005-0000-0000-00005E020000}"/>
    <cellStyle name="s607" xfId="607" xr:uid="{00000000-0005-0000-0000-00005F020000}"/>
    <cellStyle name="s608" xfId="608" xr:uid="{00000000-0005-0000-0000-000060020000}"/>
    <cellStyle name="s609" xfId="609" xr:uid="{00000000-0005-0000-0000-000061020000}"/>
    <cellStyle name="s61" xfId="61" xr:uid="{00000000-0005-0000-0000-00003D000000}"/>
    <cellStyle name="s610" xfId="610" xr:uid="{00000000-0005-0000-0000-000062020000}"/>
    <cellStyle name="s611" xfId="611" xr:uid="{00000000-0005-0000-0000-000063020000}"/>
    <cellStyle name="s612" xfId="612" xr:uid="{00000000-0005-0000-0000-000064020000}"/>
    <cellStyle name="s613" xfId="613" xr:uid="{00000000-0005-0000-0000-000065020000}"/>
    <cellStyle name="s614" xfId="614" xr:uid="{00000000-0005-0000-0000-000066020000}"/>
    <cellStyle name="s615" xfId="615" xr:uid="{00000000-0005-0000-0000-000067020000}"/>
    <cellStyle name="s616" xfId="616" xr:uid="{00000000-0005-0000-0000-000068020000}"/>
    <cellStyle name="s617" xfId="617" xr:uid="{00000000-0005-0000-0000-000069020000}"/>
    <cellStyle name="s618" xfId="618" xr:uid="{00000000-0005-0000-0000-00006A020000}"/>
    <cellStyle name="s619" xfId="619" xr:uid="{00000000-0005-0000-0000-00006B020000}"/>
    <cellStyle name="s62" xfId="62" xr:uid="{00000000-0005-0000-0000-00003E000000}"/>
    <cellStyle name="s620" xfId="620" xr:uid="{00000000-0005-0000-0000-00006C020000}"/>
    <cellStyle name="s621" xfId="621" xr:uid="{00000000-0005-0000-0000-00006D020000}"/>
    <cellStyle name="s622" xfId="622" xr:uid="{00000000-0005-0000-0000-00006E020000}"/>
    <cellStyle name="s623" xfId="623" xr:uid="{00000000-0005-0000-0000-00006F020000}"/>
    <cellStyle name="s624" xfId="624" xr:uid="{00000000-0005-0000-0000-000070020000}"/>
    <cellStyle name="s625" xfId="625" xr:uid="{00000000-0005-0000-0000-000071020000}"/>
    <cellStyle name="s626" xfId="626" xr:uid="{00000000-0005-0000-0000-000072020000}"/>
    <cellStyle name="s627" xfId="627" xr:uid="{00000000-0005-0000-0000-000073020000}"/>
    <cellStyle name="s628" xfId="628" xr:uid="{00000000-0005-0000-0000-000074020000}"/>
    <cellStyle name="s629" xfId="629" xr:uid="{00000000-0005-0000-0000-000075020000}"/>
    <cellStyle name="s63" xfId="63" xr:uid="{00000000-0005-0000-0000-00003F000000}"/>
    <cellStyle name="s630" xfId="630" xr:uid="{00000000-0005-0000-0000-000076020000}"/>
    <cellStyle name="s631" xfId="631" xr:uid="{00000000-0005-0000-0000-000077020000}"/>
    <cellStyle name="s632" xfId="632" xr:uid="{00000000-0005-0000-0000-000078020000}"/>
    <cellStyle name="s633" xfId="633" xr:uid="{00000000-0005-0000-0000-000079020000}"/>
    <cellStyle name="s634" xfId="634" xr:uid="{00000000-0005-0000-0000-00007A020000}"/>
    <cellStyle name="s635" xfId="635" xr:uid="{00000000-0005-0000-0000-00007B020000}"/>
    <cellStyle name="s636" xfId="636" xr:uid="{00000000-0005-0000-0000-00007C020000}"/>
    <cellStyle name="s637" xfId="637" xr:uid="{00000000-0005-0000-0000-00007D020000}"/>
    <cellStyle name="s638" xfId="638" xr:uid="{00000000-0005-0000-0000-00007E020000}"/>
    <cellStyle name="s639" xfId="639" xr:uid="{00000000-0005-0000-0000-00007F020000}"/>
    <cellStyle name="s64" xfId="64" xr:uid="{00000000-0005-0000-0000-000040000000}"/>
    <cellStyle name="s640" xfId="640" xr:uid="{00000000-0005-0000-0000-000080020000}"/>
    <cellStyle name="s641" xfId="641" xr:uid="{00000000-0005-0000-0000-000081020000}"/>
    <cellStyle name="s642" xfId="642" xr:uid="{00000000-0005-0000-0000-000082020000}"/>
    <cellStyle name="s643" xfId="643" xr:uid="{00000000-0005-0000-0000-000083020000}"/>
    <cellStyle name="s644" xfId="644" xr:uid="{00000000-0005-0000-0000-000084020000}"/>
    <cellStyle name="s645" xfId="645" xr:uid="{00000000-0005-0000-0000-000085020000}"/>
    <cellStyle name="s646" xfId="646" xr:uid="{00000000-0005-0000-0000-000086020000}"/>
    <cellStyle name="s647" xfId="647" xr:uid="{00000000-0005-0000-0000-000087020000}"/>
    <cellStyle name="s648" xfId="648" xr:uid="{00000000-0005-0000-0000-000088020000}"/>
    <cellStyle name="s649" xfId="649" xr:uid="{00000000-0005-0000-0000-000089020000}"/>
    <cellStyle name="s65" xfId="65" xr:uid="{00000000-0005-0000-0000-000041000000}"/>
    <cellStyle name="s650" xfId="650" xr:uid="{00000000-0005-0000-0000-00008A020000}"/>
    <cellStyle name="s651" xfId="651" xr:uid="{00000000-0005-0000-0000-00008B020000}"/>
    <cellStyle name="s652" xfId="652" xr:uid="{00000000-0005-0000-0000-00008C020000}"/>
    <cellStyle name="s653" xfId="653" xr:uid="{00000000-0005-0000-0000-00008D020000}"/>
    <cellStyle name="s654" xfId="654" xr:uid="{00000000-0005-0000-0000-00008E020000}"/>
    <cellStyle name="s655" xfId="655" xr:uid="{00000000-0005-0000-0000-00008F020000}"/>
    <cellStyle name="s656" xfId="656" xr:uid="{00000000-0005-0000-0000-000090020000}"/>
    <cellStyle name="s657" xfId="657" xr:uid="{00000000-0005-0000-0000-000091020000}"/>
    <cellStyle name="s658" xfId="658" xr:uid="{00000000-0005-0000-0000-000092020000}"/>
    <cellStyle name="s659" xfId="659" xr:uid="{00000000-0005-0000-0000-000093020000}"/>
    <cellStyle name="s66" xfId="66" xr:uid="{00000000-0005-0000-0000-000042000000}"/>
    <cellStyle name="s660" xfId="660" xr:uid="{00000000-0005-0000-0000-000094020000}"/>
    <cellStyle name="s661" xfId="661" xr:uid="{00000000-0005-0000-0000-000095020000}"/>
    <cellStyle name="s662" xfId="662" xr:uid="{00000000-0005-0000-0000-000096020000}"/>
    <cellStyle name="s663" xfId="663" xr:uid="{00000000-0005-0000-0000-000097020000}"/>
    <cellStyle name="s664" xfId="664" xr:uid="{00000000-0005-0000-0000-000098020000}"/>
    <cellStyle name="s665" xfId="665" xr:uid="{00000000-0005-0000-0000-000099020000}"/>
    <cellStyle name="s666" xfId="666" xr:uid="{00000000-0005-0000-0000-00009A020000}"/>
    <cellStyle name="s667" xfId="667" xr:uid="{00000000-0005-0000-0000-00009B020000}"/>
    <cellStyle name="s668" xfId="668" xr:uid="{00000000-0005-0000-0000-00009C020000}"/>
    <cellStyle name="s669" xfId="669" xr:uid="{00000000-0005-0000-0000-00009D020000}"/>
    <cellStyle name="s67" xfId="67" xr:uid="{00000000-0005-0000-0000-000043000000}"/>
    <cellStyle name="s670" xfId="670" xr:uid="{00000000-0005-0000-0000-00009E020000}"/>
    <cellStyle name="s671" xfId="671" xr:uid="{00000000-0005-0000-0000-00009F020000}"/>
    <cellStyle name="s672" xfId="672" xr:uid="{00000000-0005-0000-0000-0000A0020000}"/>
    <cellStyle name="s673" xfId="673" xr:uid="{00000000-0005-0000-0000-0000A1020000}"/>
    <cellStyle name="s674" xfId="674" xr:uid="{00000000-0005-0000-0000-0000A2020000}"/>
    <cellStyle name="s675" xfId="675" xr:uid="{00000000-0005-0000-0000-0000A3020000}"/>
    <cellStyle name="s676" xfId="676" xr:uid="{00000000-0005-0000-0000-0000A4020000}"/>
    <cellStyle name="s677" xfId="677" xr:uid="{00000000-0005-0000-0000-0000A5020000}"/>
    <cellStyle name="s678" xfId="678" xr:uid="{00000000-0005-0000-0000-0000A6020000}"/>
    <cellStyle name="s679" xfId="679" xr:uid="{00000000-0005-0000-0000-0000A7020000}"/>
    <cellStyle name="s68" xfId="68" xr:uid="{00000000-0005-0000-0000-000044000000}"/>
    <cellStyle name="s680" xfId="680" xr:uid="{00000000-0005-0000-0000-0000A8020000}"/>
    <cellStyle name="s681" xfId="681" xr:uid="{00000000-0005-0000-0000-0000A9020000}"/>
    <cellStyle name="s682" xfId="682" xr:uid="{00000000-0005-0000-0000-0000AA020000}"/>
    <cellStyle name="s683" xfId="683" xr:uid="{00000000-0005-0000-0000-0000AB020000}"/>
    <cellStyle name="s684" xfId="684" xr:uid="{00000000-0005-0000-0000-0000AC020000}"/>
    <cellStyle name="s685" xfId="685" xr:uid="{00000000-0005-0000-0000-0000AD020000}"/>
    <cellStyle name="s686" xfId="686" xr:uid="{00000000-0005-0000-0000-0000AE020000}"/>
    <cellStyle name="s687" xfId="687" xr:uid="{00000000-0005-0000-0000-0000AF020000}"/>
    <cellStyle name="s688" xfId="688" xr:uid="{00000000-0005-0000-0000-0000B0020000}"/>
    <cellStyle name="s689" xfId="689" xr:uid="{00000000-0005-0000-0000-0000B1020000}"/>
    <cellStyle name="s69" xfId="69" xr:uid="{00000000-0005-0000-0000-000045000000}"/>
    <cellStyle name="s690" xfId="690" xr:uid="{00000000-0005-0000-0000-0000B2020000}"/>
    <cellStyle name="s691" xfId="691" xr:uid="{00000000-0005-0000-0000-0000B3020000}"/>
    <cellStyle name="s692" xfId="692" xr:uid="{00000000-0005-0000-0000-0000B4020000}"/>
    <cellStyle name="s693" xfId="693" xr:uid="{00000000-0005-0000-0000-0000B5020000}"/>
    <cellStyle name="s694" xfId="694" xr:uid="{00000000-0005-0000-0000-0000B6020000}"/>
    <cellStyle name="s695" xfId="695" xr:uid="{00000000-0005-0000-0000-0000B7020000}"/>
    <cellStyle name="s696" xfId="696" xr:uid="{00000000-0005-0000-0000-0000B8020000}"/>
    <cellStyle name="s697" xfId="697" xr:uid="{00000000-0005-0000-0000-0000B9020000}"/>
    <cellStyle name="s698" xfId="698" xr:uid="{00000000-0005-0000-0000-0000BA020000}"/>
    <cellStyle name="s699" xfId="699" xr:uid="{00000000-0005-0000-0000-0000BB020000}"/>
    <cellStyle name="s7" xfId="7" xr:uid="{00000000-0005-0000-0000-000007000000}"/>
    <cellStyle name="s70" xfId="70" xr:uid="{00000000-0005-0000-0000-000046000000}"/>
    <cellStyle name="s700" xfId="700" xr:uid="{00000000-0005-0000-0000-0000BC020000}"/>
    <cellStyle name="s701" xfId="701" xr:uid="{00000000-0005-0000-0000-0000BD020000}"/>
    <cellStyle name="s702" xfId="702" xr:uid="{00000000-0005-0000-0000-0000BE020000}"/>
    <cellStyle name="s703" xfId="703" xr:uid="{00000000-0005-0000-0000-0000BF020000}"/>
    <cellStyle name="s704" xfId="704" xr:uid="{00000000-0005-0000-0000-0000C0020000}"/>
    <cellStyle name="s705" xfId="705" xr:uid="{00000000-0005-0000-0000-0000C1020000}"/>
    <cellStyle name="s706" xfId="706" xr:uid="{00000000-0005-0000-0000-0000C2020000}"/>
    <cellStyle name="s707" xfId="707" xr:uid="{00000000-0005-0000-0000-0000C3020000}"/>
    <cellStyle name="s708" xfId="708" xr:uid="{00000000-0005-0000-0000-0000C4020000}"/>
    <cellStyle name="s709" xfId="709" xr:uid="{00000000-0005-0000-0000-0000C5020000}"/>
    <cellStyle name="s71" xfId="71" xr:uid="{00000000-0005-0000-0000-000047000000}"/>
    <cellStyle name="s710" xfId="710" xr:uid="{00000000-0005-0000-0000-0000C6020000}"/>
    <cellStyle name="s711" xfId="711" xr:uid="{00000000-0005-0000-0000-0000C7020000}"/>
    <cellStyle name="s712" xfId="712" xr:uid="{00000000-0005-0000-0000-0000C8020000}"/>
    <cellStyle name="s713" xfId="713" xr:uid="{00000000-0005-0000-0000-0000C9020000}"/>
    <cellStyle name="s714" xfId="714" xr:uid="{00000000-0005-0000-0000-0000CA020000}"/>
    <cellStyle name="s715" xfId="715" xr:uid="{00000000-0005-0000-0000-0000CB020000}"/>
    <cellStyle name="s716" xfId="716" xr:uid="{00000000-0005-0000-0000-0000CC020000}"/>
    <cellStyle name="s717" xfId="717" xr:uid="{00000000-0005-0000-0000-0000CD020000}"/>
    <cellStyle name="s718" xfId="718" xr:uid="{00000000-0005-0000-0000-0000CE020000}"/>
    <cellStyle name="s719" xfId="719" xr:uid="{00000000-0005-0000-0000-0000CF020000}"/>
    <cellStyle name="s72" xfId="72" xr:uid="{00000000-0005-0000-0000-000048000000}"/>
    <cellStyle name="s720" xfId="720" xr:uid="{00000000-0005-0000-0000-0000D0020000}"/>
    <cellStyle name="s721" xfId="721" xr:uid="{00000000-0005-0000-0000-0000D1020000}"/>
    <cellStyle name="s722" xfId="722" xr:uid="{00000000-0005-0000-0000-0000D2020000}"/>
    <cellStyle name="s723" xfId="723" xr:uid="{00000000-0005-0000-0000-0000D3020000}"/>
    <cellStyle name="s724" xfId="724" xr:uid="{00000000-0005-0000-0000-0000D4020000}"/>
    <cellStyle name="s725" xfId="725" xr:uid="{00000000-0005-0000-0000-0000D5020000}"/>
    <cellStyle name="s726" xfId="726" xr:uid="{00000000-0005-0000-0000-0000D6020000}"/>
    <cellStyle name="s727" xfId="727" xr:uid="{00000000-0005-0000-0000-0000D7020000}"/>
    <cellStyle name="s728" xfId="728" xr:uid="{00000000-0005-0000-0000-0000D8020000}"/>
    <cellStyle name="s729" xfId="729" xr:uid="{00000000-0005-0000-0000-0000D9020000}"/>
    <cellStyle name="s73" xfId="73" xr:uid="{00000000-0005-0000-0000-000049000000}"/>
    <cellStyle name="s730" xfId="730" xr:uid="{00000000-0005-0000-0000-0000DA020000}"/>
    <cellStyle name="s731" xfId="731" xr:uid="{00000000-0005-0000-0000-0000DB020000}"/>
    <cellStyle name="s732" xfId="732" xr:uid="{00000000-0005-0000-0000-0000DC020000}"/>
    <cellStyle name="s733" xfId="733" xr:uid="{00000000-0005-0000-0000-0000DD020000}"/>
    <cellStyle name="s734" xfId="734" xr:uid="{00000000-0005-0000-0000-0000DE020000}"/>
    <cellStyle name="s735" xfId="735" xr:uid="{00000000-0005-0000-0000-0000DF020000}"/>
    <cellStyle name="s736" xfId="736" xr:uid="{00000000-0005-0000-0000-0000E0020000}"/>
    <cellStyle name="s737" xfId="737" xr:uid="{00000000-0005-0000-0000-0000E1020000}"/>
    <cellStyle name="s738" xfId="738" xr:uid="{00000000-0005-0000-0000-0000E2020000}"/>
    <cellStyle name="s739" xfId="739" xr:uid="{00000000-0005-0000-0000-0000E3020000}"/>
    <cellStyle name="s74" xfId="74" xr:uid="{00000000-0005-0000-0000-00004A000000}"/>
    <cellStyle name="s740" xfId="740" xr:uid="{00000000-0005-0000-0000-0000E4020000}"/>
    <cellStyle name="s741" xfId="741" xr:uid="{00000000-0005-0000-0000-0000E5020000}"/>
    <cellStyle name="s742" xfId="742" xr:uid="{00000000-0005-0000-0000-0000E6020000}"/>
    <cellStyle name="s743" xfId="743" xr:uid="{00000000-0005-0000-0000-0000E7020000}"/>
    <cellStyle name="s744" xfId="744" xr:uid="{00000000-0005-0000-0000-0000E8020000}"/>
    <cellStyle name="s745" xfId="745" xr:uid="{00000000-0005-0000-0000-0000E9020000}"/>
    <cellStyle name="s746" xfId="746" xr:uid="{00000000-0005-0000-0000-0000EA020000}"/>
    <cellStyle name="s747" xfId="747" xr:uid="{00000000-0005-0000-0000-0000EB020000}"/>
    <cellStyle name="s748" xfId="748" xr:uid="{00000000-0005-0000-0000-0000EC020000}"/>
    <cellStyle name="s749" xfId="749" xr:uid="{00000000-0005-0000-0000-0000ED020000}"/>
    <cellStyle name="s75" xfId="75" xr:uid="{00000000-0005-0000-0000-00004B000000}"/>
    <cellStyle name="s750" xfId="750" xr:uid="{00000000-0005-0000-0000-0000EE020000}"/>
    <cellStyle name="s751" xfId="751" xr:uid="{00000000-0005-0000-0000-0000EF020000}"/>
    <cellStyle name="s752" xfId="752" xr:uid="{00000000-0005-0000-0000-0000F0020000}"/>
    <cellStyle name="s753" xfId="753" xr:uid="{00000000-0005-0000-0000-0000F1020000}"/>
    <cellStyle name="s754" xfId="754" xr:uid="{00000000-0005-0000-0000-0000F2020000}"/>
    <cellStyle name="s755" xfId="755" xr:uid="{00000000-0005-0000-0000-0000F3020000}"/>
    <cellStyle name="s756" xfId="756" xr:uid="{00000000-0005-0000-0000-0000F4020000}"/>
    <cellStyle name="s757" xfId="757" xr:uid="{00000000-0005-0000-0000-0000F5020000}"/>
    <cellStyle name="s758" xfId="758" xr:uid="{00000000-0005-0000-0000-0000F6020000}"/>
    <cellStyle name="s759" xfId="759" xr:uid="{00000000-0005-0000-0000-0000F7020000}"/>
    <cellStyle name="s76" xfId="76" xr:uid="{00000000-0005-0000-0000-00004C000000}"/>
    <cellStyle name="s760" xfId="760" xr:uid="{00000000-0005-0000-0000-0000F8020000}"/>
    <cellStyle name="s761" xfId="761" xr:uid="{00000000-0005-0000-0000-0000F9020000}"/>
    <cellStyle name="s762" xfId="762" xr:uid="{00000000-0005-0000-0000-0000FA020000}"/>
    <cellStyle name="s763" xfId="763" xr:uid="{00000000-0005-0000-0000-0000FB020000}"/>
    <cellStyle name="s764" xfId="764" xr:uid="{00000000-0005-0000-0000-0000FC020000}"/>
    <cellStyle name="s765" xfId="765" xr:uid="{00000000-0005-0000-0000-0000FD020000}"/>
    <cellStyle name="s766" xfId="766" xr:uid="{00000000-0005-0000-0000-0000FE020000}"/>
    <cellStyle name="s767" xfId="767" xr:uid="{00000000-0005-0000-0000-0000FF020000}"/>
    <cellStyle name="s768" xfId="768" xr:uid="{00000000-0005-0000-0000-000000030000}"/>
    <cellStyle name="s769" xfId="769" xr:uid="{00000000-0005-0000-0000-000001030000}"/>
    <cellStyle name="s77" xfId="77" xr:uid="{00000000-0005-0000-0000-00004D000000}"/>
    <cellStyle name="s770" xfId="770" xr:uid="{00000000-0005-0000-0000-000002030000}"/>
    <cellStyle name="s771" xfId="771" xr:uid="{00000000-0005-0000-0000-000003030000}"/>
    <cellStyle name="s772" xfId="772" xr:uid="{00000000-0005-0000-0000-000004030000}"/>
    <cellStyle name="s773" xfId="773" xr:uid="{00000000-0005-0000-0000-000005030000}"/>
    <cellStyle name="s774" xfId="774" xr:uid="{00000000-0005-0000-0000-000006030000}"/>
    <cellStyle name="s775" xfId="775" xr:uid="{00000000-0005-0000-0000-000007030000}"/>
    <cellStyle name="s776" xfId="776" xr:uid="{00000000-0005-0000-0000-000008030000}"/>
    <cellStyle name="s777" xfId="777" xr:uid="{00000000-0005-0000-0000-000009030000}"/>
    <cellStyle name="s778" xfId="778" xr:uid="{00000000-0005-0000-0000-00000A030000}"/>
    <cellStyle name="s779" xfId="779" xr:uid="{00000000-0005-0000-0000-00000B030000}"/>
    <cellStyle name="s78" xfId="78" xr:uid="{00000000-0005-0000-0000-00004E000000}"/>
    <cellStyle name="s780" xfId="780" xr:uid="{00000000-0005-0000-0000-00000C030000}"/>
    <cellStyle name="s781" xfId="781" xr:uid="{00000000-0005-0000-0000-00000D030000}"/>
    <cellStyle name="s782" xfId="782" xr:uid="{00000000-0005-0000-0000-00000E030000}"/>
    <cellStyle name="s783" xfId="783" xr:uid="{00000000-0005-0000-0000-00000F030000}"/>
    <cellStyle name="s784" xfId="784" xr:uid="{00000000-0005-0000-0000-000010030000}"/>
    <cellStyle name="s785" xfId="785" xr:uid="{00000000-0005-0000-0000-000011030000}"/>
    <cellStyle name="s786" xfId="786" xr:uid="{00000000-0005-0000-0000-000012030000}"/>
    <cellStyle name="s787" xfId="787" xr:uid="{00000000-0005-0000-0000-000013030000}"/>
    <cellStyle name="s788" xfId="788" xr:uid="{00000000-0005-0000-0000-000014030000}"/>
    <cellStyle name="s789" xfId="789" xr:uid="{00000000-0005-0000-0000-000015030000}"/>
    <cellStyle name="s79" xfId="79" xr:uid="{00000000-0005-0000-0000-00004F000000}"/>
    <cellStyle name="s790" xfId="790" xr:uid="{00000000-0005-0000-0000-000016030000}"/>
    <cellStyle name="s791" xfId="791" xr:uid="{00000000-0005-0000-0000-000017030000}"/>
    <cellStyle name="s792" xfId="792" xr:uid="{00000000-0005-0000-0000-000018030000}"/>
    <cellStyle name="s793" xfId="793" xr:uid="{00000000-0005-0000-0000-000019030000}"/>
    <cellStyle name="s794" xfId="794" xr:uid="{00000000-0005-0000-0000-00001A030000}"/>
    <cellStyle name="s795" xfId="795" xr:uid="{00000000-0005-0000-0000-00001B030000}"/>
    <cellStyle name="s796" xfId="796" xr:uid="{00000000-0005-0000-0000-00001C030000}"/>
    <cellStyle name="s797" xfId="797" xr:uid="{00000000-0005-0000-0000-00001D030000}"/>
    <cellStyle name="s798" xfId="798" xr:uid="{00000000-0005-0000-0000-00001E030000}"/>
    <cellStyle name="s799" xfId="799" xr:uid="{00000000-0005-0000-0000-00001F030000}"/>
    <cellStyle name="s8" xfId="8" xr:uid="{00000000-0005-0000-0000-000008000000}"/>
    <cellStyle name="s80" xfId="80" xr:uid="{00000000-0005-0000-0000-000050000000}"/>
    <cellStyle name="s800" xfId="800" xr:uid="{00000000-0005-0000-0000-000020030000}"/>
    <cellStyle name="s801" xfId="801" xr:uid="{00000000-0005-0000-0000-000021030000}"/>
    <cellStyle name="s802" xfId="802" xr:uid="{00000000-0005-0000-0000-000022030000}"/>
    <cellStyle name="s803" xfId="803" xr:uid="{00000000-0005-0000-0000-000023030000}"/>
    <cellStyle name="s804" xfId="804" xr:uid="{00000000-0005-0000-0000-000024030000}"/>
    <cellStyle name="s805" xfId="805" xr:uid="{00000000-0005-0000-0000-000025030000}"/>
    <cellStyle name="s806" xfId="806" xr:uid="{00000000-0005-0000-0000-000026030000}"/>
    <cellStyle name="s807" xfId="807" xr:uid="{00000000-0005-0000-0000-000027030000}"/>
    <cellStyle name="s808" xfId="808" xr:uid="{00000000-0005-0000-0000-000028030000}"/>
    <cellStyle name="s809" xfId="809" xr:uid="{00000000-0005-0000-0000-000029030000}"/>
    <cellStyle name="s81" xfId="81" xr:uid="{00000000-0005-0000-0000-000051000000}"/>
    <cellStyle name="s810" xfId="810" xr:uid="{00000000-0005-0000-0000-00002A030000}"/>
    <cellStyle name="s811" xfId="811" xr:uid="{00000000-0005-0000-0000-00002B030000}"/>
    <cellStyle name="s812" xfId="812" xr:uid="{00000000-0005-0000-0000-00002C030000}"/>
    <cellStyle name="s813" xfId="813" xr:uid="{00000000-0005-0000-0000-00002D030000}"/>
    <cellStyle name="s814" xfId="814" xr:uid="{00000000-0005-0000-0000-00002E030000}"/>
    <cellStyle name="s815" xfId="815" xr:uid="{00000000-0005-0000-0000-00002F030000}"/>
    <cellStyle name="s816" xfId="816" xr:uid="{00000000-0005-0000-0000-000030030000}"/>
    <cellStyle name="s817" xfId="817" xr:uid="{00000000-0005-0000-0000-000031030000}"/>
    <cellStyle name="s818" xfId="818" xr:uid="{00000000-0005-0000-0000-000032030000}"/>
    <cellStyle name="s819" xfId="819" xr:uid="{00000000-0005-0000-0000-000033030000}"/>
    <cellStyle name="s82" xfId="82" xr:uid="{00000000-0005-0000-0000-000052000000}"/>
    <cellStyle name="s820" xfId="820" xr:uid="{00000000-0005-0000-0000-000034030000}"/>
    <cellStyle name="s821" xfId="821" xr:uid="{00000000-0005-0000-0000-000035030000}"/>
    <cellStyle name="s822" xfId="822" xr:uid="{00000000-0005-0000-0000-000036030000}"/>
    <cellStyle name="s823" xfId="823" xr:uid="{00000000-0005-0000-0000-000037030000}"/>
    <cellStyle name="s824" xfId="824" xr:uid="{00000000-0005-0000-0000-000038030000}"/>
    <cellStyle name="s825" xfId="825" xr:uid="{00000000-0005-0000-0000-000039030000}"/>
    <cellStyle name="s826" xfId="826" xr:uid="{00000000-0005-0000-0000-00003A030000}"/>
    <cellStyle name="s827" xfId="827" xr:uid="{00000000-0005-0000-0000-00003B030000}"/>
    <cellStyle name="s828" xfId="828" xr:uid="{00000000-0005-0000-0000-00003C030000}"/>
    <cellStyle name="s829" xfId="829" xr:uid="{00000000-0005-0000-0000-00003D030000}"/>
    <cellStyle name="s83" xfId="83" xr:uid="{00000000-0005-0000-0000-000053000000}"/>
    <cellStyle name="s830" xfId="830" xr:uid="{00000000-0005-0000-0000-00003E030000}"/>
    <cellStyle name="s831" xfId="831" xr:uid="{00000000-0005-0000-0000-00003F030000}"/>
    <cellStyle name="s832" xfId="832" xr:uid="{00000000-0005-0000-0000-000040030000}"/>
    <cellStyle name="s833" xfId="833" xr:uid="{00000000-0005-0000-0000-000041030000}"/>
    <cellStyle name="s834" xfId="834" xr:uid="{00000000-0005-0000-0000-000042030000}"/>
    <cellStyle name="s835" xfId="835" xr:uid="{00000000-0005-0000-0000-000043030000}"/>
    <cellStyle name="s836" xfId="836" xr:uid="{00000000-0005-0000-0000-000044030000}"/>
    <cellStyle name="s837" xfId="837" xr:uid="{00000000-0005-0000-0000-000045030000}"/>
    <cellStyle name="s838" xfId="838" xr:uid="{00000000-0005-0000-0000-000046030000}"/>
    <cellStyle name="s839" xfId="839" xr:uid="{00000000-0005-0000-0000-000047030000}"/>
    <cellStyle name="s84" xfId="84" xr:uid="{00000000-0005-0000-0000-000054000000}"/>
    <cellStyle name="s840" xfId="840" xr:uid="{00000000-0005-0000-0000-000048030000}"/>
    <cellStyle name="s841" xfId="841" xr:uid="{00000000-0005-0000-0000-000049030000}"/>
    <cellStyle name="s842" xfId="842" xr:uid="{00000000-0005-0000-0000-00004A030000}"/>
    <cellStyle name="s843" xfId="843" xr:uid="{00000000-0005-0000-0000-00004B030000}"/>
    <cellStyle name="s844" xfId="844" xr:uid="{00000000-0005-0000-0000-00004C030000}"/>
    <cellStyle name="s845" xfId="845" xr:uid="{00000000-0005-0000-0000-00004D030000}"/>
    <cellStyle name="s846" xfId="846" xr:uid="{00000000-0005-0000-0000-00004E030000}"/>
    <cellStyle name="s847" xfId="847" xr:uid="{00000000-0005-0000-0000-00004F030000}"/>
    <cellStyle name="s848" xfId="848" xr:uid="{00000000-0005-0000-0000-000050030000}"/>
    <cellStyle name="s849" xfId="849" xr:uid="{00000000-0005-0000-0000-000051030000}"/>
    <cellStyle name="s85" xfId="85" xr:uid="{00000000-0005-0000-0000-000055000000}"/>
    <cellStyle name="s850" xfId="850" xr:uid="{00000000-0005-0000-0000-000052030000}"/>
    <cellStyle name="s851" xfId="851" xr:uid="{00000000-0005-0000-0000-000053030000}"/>
    <cellStyle name="s852" xfId="852" xr:uid="{00000000-0005-0000-0000-000054030000}"/>
    <cellStyle name="s853" xfId="853" xr:uid="{00000000-0005-0000-0000-000055030000}"/>
    <cellStyle name="s854" xfId="854" xr:uid="{00000000-0005-0000-0000-000056030000}"/>
    <cellStyle name="s855" xfId="855" xr:uid="{00000000-0005-0000-0000-000057030000}"/>
    <cellStyle name="s856" xfId="856" xr:uid="{00000000-0005-0000-0000-000058030000}"/>
    <cellStyle name="s857" xfId="857" xr:uid="{00000000-0005-0000-0000-000059030000}"/>
    <cellStyle name="s858" xfId="858" xr:uid="{00000000-0005-0000-0000-00005A030000}"/>
    <cellStyle name="s859" xfId="859" xr:uid="{00000000-0005-0000-0000-00005B030000}"/>
    <cellStyle name="s86" xfId="86" xr:uid="{00000000-0005-0000-0000-000056000000}"/>
    <cellStyle name="s860" xfId="860" xr:uid="{00000000-0005-0000-0000-00005C030000}"/>
    <cellStyle name="s861" xfId="861" xr:uid="{00000000-0005-0000-0000-00005D030000}"/>
    <cellStyle name="s862" xfId="862" xr:uid="{00000000-0005-0000-0000-00005E030000}"/>
    <cellStyle name="s863" xfId="863" xr:uid="{00000000-0005-0000-0000-00005F030000}"/>
    <cellStyle name="s864" xfId="864" xr:uid="{00000000-0005-0000-0000-000060030000}"/>
    <cellStyle name="s865" xfId="865" xr:uid="{00000000-0005-0000-0000-000061030000}"/>
    <cellStyle name="s866" xfId="866" xr:uid="{00000000-0005-0000-0000-000062030000}"/>
    <cellStyle name="s867" xfId="867" xr:uid="{00000000-0005-0000-0000-000063030000}"/>
    <cellStyle name="s868" xfId="868" xr:uid="{00000000-0005-0000-0000-000064030000}"/>
    <cellStyle name="s869" xfId="869" xr:uid="{00000000-0005-0000-0000-000065030000}"/>
    <cellStyle name="s87" xfId="87" xr:uid="{00000000-0005-0000-0000-000057000000}"/>
    <cellStyle name="s870" xfId="870" xr:uid="{00000000-0005-0000-0000-000066030000}"/>
    <cellStyle name="s871" xfId="871" xr:uid="{00000000-0005-0000-0000-000067030000}"/>
    <cellStyle name="s872" xfId="872" xr:uid="{00000000-0005-0000-0000-000068030000}"/>
    <cellStyle name="s873" xfId="873" xr:uid="{00000000-0005-0000-0000-000069030000}"/>
    <cellStyle name="s874" xfId="874" xr:uid="{00000000-0005-0000-0000-00006A030000}"/>
    <cellStyle name="s875" xfId="875" xr:uid="{00000000-0005-0000-0000-00006B030000}"/>
    <cellStyle name="s876" xfId="876" xr:uid="{00000000-0005-0000-0000-00006C030000}"/>
    <cellStyle name="s877" xfId="877" xr:uid="{00000000-0005-0000-0000-00006D030000}"/>
    <cellStyle name="s878" xfId="878" xr:uid="{00000000-0005-0000-0000-00006E030000}"/>
    <cellStyle name="s879" xfId="879" xr:uid="{00000000-0005-0000-0000-00006F030000}"/>
    <cellStyle name="s88" xfId="88" xr:uid="{00000000-0005-0000-0000-000058000000}"/>
    <cellStyle name="s880" xfId="880" xr:uid="{00000000-0005-0000-0000-000070030000}"/>
    <cellStyle name="s881" xfId="881" xr:uid="{00000000-0005-0000-0000-000071030000}"/>
    <cellStyle name="s882" xfId="882" xr:uid="{00000000-0005-0000-0000-000072030000}"/>
    <cellStyle name="s883" xfId="883" xr:uid="{00000000-0005-0000-0000-000073030000}"/>
    <cellStyle name="s884" xfId="884" xr:uid="{00000000-0005-0000-0000-000074030000}"/>
    <cellStyle name="s885" xfId="885" xr:uid="{00000000-0005-0000-0000-000075030000}"/>
    <cellStyle name="s886" xfId="886" xr:uid="{00000000-0005-0000-0000-000076030000}"/>
    <cellStyle name="s887" xfId="887" xr:uid="{00000000-0005-0000-0000-000077030000}"/>
    <cellStyle name="s888" xfId="888" xr:uid="{00000000-0005-0000-0000-000078030000}"/>
    <cellStyle name="s889" xfId="889" xr:uid="{00000000-0005-0000-0000-000079030000}"/>
    <cellStyle name="s89" xfId="89" xr:uid="{00000000-0005-0000-0000-000059000000}"/>
    <cellStyle name="s890" xfId="890" xr:uid="{00000000-0005-0000-0000-00007A030000}"/>
    <cellStyle name="s891" xfId="891" xr:uid="{00000000-0005-0000-0000-00007B030000}"/>
    <cellStyle name="s892" xfId="892" xr:uid="{00000000-0005-0000-0000-00007C030000}"/>
    <cellStyle name="s893" xfId="893" xr:uid="{00000000-0005-0000-0000-00007D030000}"/>
    <cellStyle name="s894" xfId="894" xr:uid="{00000000-0005-0000-0000-00007E030000}"/>
    <cellStyle name="s895" xfId="895" xr:uid="{00000000-0005-0000-0000-00007F030000}"/>
    <cellStyle name="s896" xfId="896" xr:uid="{00000000-0005-0000-0000-000080030000}"/>
    <cellStyle name="s897" xfId="897" xr:uid="{00000000-0005-0000-0000-000081030000}"/>
    <cellStyle name="s898" xfId="898" xr:uid="{00000000-0005-0000-0000-000082030000}"/>
    <cellStyle name="s899" xfId="899" xr:uid="{00000000-0005-0000-0000-000083030000}"/>
    <cellStyle name="s9" xfId="9" xr:uid="{00000000-0005-0000-0000-000009000000}"/>
    <cellStyle name="s90" xfId="90" xr:uid="{00000000-0005-0000-0000-00005A000000}"/>
    <cellStyle name="s900" xfId="900" xr:uid="{00000000-0005-0000-0000-000084030000}"/>
    <cellStyle name="s901" xfId="901" xr:uid="{00000000-0005-0000-0000-000085030000}"/>
    <cellStyle name="s902" xfId="902" xr:uid="{00000000-0005-0000-0000-000086030000}"/>
    <cellStyle name="s903" xfId="903" xr:uid="{00000000-0005-0000-0000-000087030000}"/>
    <cellStyle name="s904" xfId="904" xr:uid="{00000000-0005-0000-0000-000088030000}"/>
    <cellStyle name="s905" xfId="905" xr:uid="{00000000-0005-0000-0000-000089030000}"/>
    <cellStyle name="s906" xfId="906" xr:uid="{00000000-0005-0000-0000-00008A030000}"/>
    <cellStyle name="s907" xfId="907" xr:uid="{00000000-0005-0000-0000-00008B030000}"/>
    <cellStyle name="s908" xfId="908" xr:uid="{00000000-0005-0000-0000-00008C030000}"/>
    <cellStyle name="s909" xfId="909" xr:uid="{00000000-0005-0000-0000-00008D030000}"/>
    <cellStyle name="s91" xfId="91" xr:uid="{00000000-0005-0000-0000-00005B000000}"/>
    <cellStyle name="s910" xfId="910" xr:uid="{00000000-0005-0000-0000-00008E030000}"/>
    <cellStyle name="s911" xfId="911" xr:uid="{00000000-0005-0000-0000-00008F030000}"/>
    <cellStyle name="s912" xfId="912" xr:uid="{00000000-0005-0000-0000-000090030000}"/>
    <cellStyle name="s913" xfId="913" xr:uid="{00000000-0005-0000-0000-000091030000}"/>
    <cellStyle name="s914" xfId="914" xr:uid="{00000000-0005-0000-0000-000092030000}"/>
    <cellStyle name="s915" xfId="915" xr:uid="{00000000-0005-0000-0000-000093030000}"/>
    <cellStyle name="s916" xfId="916" xr:uid="{00000000-0005-0000-0000-000094030000}"/>
    <cellStyle name="s917" xfId="917" xr:uid="{00000000-0005-0000-0000-000095030000}"/>
    <cellStyle name="s918" xfId="918" xr:uid="{00000000-0005-0000-0000-000096030000}"/>
    <cellStyle name="s919" xfId="919" xr:uid="{00000000-0005-0000-0000-000097030000}"/>
    <cellStyle name="s92" xfId="92" xr:uid="{00000000-0005-0000-0000-00005C000000}"/>
    <cellStyle name="s920" xfId="920" xr:uid="{00000000-0005-0000-0000-000098030000}"/>
    <cellStyle name="s921" xfId="921" xr:uid="{00000000-0005-0000-0000-000099030000}"/>
    <cellStyle name="s922" xfId="922" xr:uid="{00000000-0005-0000-0000-00009A030000}"/>
    <cellStyle name="s923" xfId="923" xr:uid="{00000000-0005-0000-0000-00009B030000}"/>
    <cellStyle name="s924" xfId="924" xr:uid="{00000000-0005-0000-0000-00009C030000}"/>
    <cellStyle name="s925" xfId="925" xr:uid="{00000000-0005-0000-0000-00009D030000}"/>
    <cellStyle name="s926" xfId="926" xr:uid="{00000000-0005-0000-0000-00009E030000}"/>
    <cellStyle name="s927" xfId="927" xr:uid="{00000000-0005-0000-0000-00009F030000}"/>
    <cellStyle name="s928" xfId="928" xr:uid="{00000000-0005-0000-0000-0000A0030000}"/>
    <cellStyle name="s929" xfId="929" xr:uid="{00000000-0005-0000-0000-0000A1030000}"/>
    <cellStyle name="s93" xfId="93" xr:uid="{00000000-0005-0000-0000-00005D000000}"/>
    <cellStyle name="s930" xfId="930" xr:uid="{00000000-0005-0000-0000-0000A2030000}"/>
    <cellStyle name="s931" xfId="931" xr:uid="{00000000-0005-0000-0000-0000A3030000}"/>
    <cellStyle name="s932" xfId="932" xr:uid="{00000000-0005-0000-0000-0000A4030000}"/>
    <cellStyle name="s933" xfId="933" xr:uid="{00000000-0005-0000-0000-0000A5030000}"/>
    <cellStyle name="s934" xfId="934" xr:uid="{00000000-0005-0000-0000-0000A6030000}"/>
    <cellStyle name="s935" xfId="935" xr:uid="{00000000-0005-0000-0000-0000A7030000}"/>
    <cellStyle name="s936" xfId="936" xr:uid="{00000000-0005-0000-0000-0000A8030000}"/>
    <cellStyle name="s937" xfId="937" xr:uid="{00000000-0005-0000-0000-0000A9030000}"/>
    <cellStyle name="s938" xfId="938" xr:uid="{00000000-0005-0000-0000-0000AA030000}"/>
    <cellStyle name="s939" xfId="939" xr:uid="{00000000-0005-0000-0000-0000AB030000}"/>
    <cellStyle name="s94" xfId="94" xr:uid="{00000000-0005-0000-0000-00005E000000}"/>
    <cellStyle name="s940" xfId="940" xr:uid="{00000000-0005-0000-0000-0000AC030000}"/>
    <cellStyle name="s941" xfId="941" xr:uid="{00000000-0005-0000-0000-0000AD030000}"/>
    <cellStyle name="s942" xfId="942" xr:uid="{00000000-0005-0000-0000-0000AE030000}"/>
    <cellStyle name="s943" xfId="943" xr:uid="{00000000-0005-0000-0000-0000AF030000}"/>
    <cellStyle name="s944" xfId="944" xr:uid="{00000000-0005-0000-0000-0000B0030000}"/>
    <cellStyle name="s945" xfId="945" xr:uid="{00000000-0005-0000-0000-0000B1030000}"/>
    <cellStyle name="s946" xfId="946" xr:uid="{00000000-0005-0000-0000-0000B2030000}"/>
    <cellStyle name="s947" xfId="947" xr:uid="{00000000-0005-0000-0000-0000B3030000}"/>
    <cellStyle name="s948" xfId="948" xr:uid="{00000000-0005-0000-0000-0000B4030000}"/>
    <cellStyle name="s949" xfId="949" xr:uid="{00000000-0005-0000-0000-0000B5030000}"/>
    <cellStyle name="s95" xfId="95" xr:uid="{00000000-0005-0000-0000-00005F000000}"/>
    <cellStyle name="s950" xfId="950" xr:uid="{00000000-0005-0000-0000-0000B6030000}"/>
    <cellStyle name="s951" xfId="951" xr:uid="{00000000-0005-0000-0000-0000B7030000}"/>
    <cellStyle name="s952" xfId="952" xr:uid="{00000000-0005-0000-0000-0000B8030000}"/>
    <cellStyle name="s953" xfId="953" xr:uid="{00000000-0005-0000-0000-0000B9030000}"/>
    <cellStyle name="s954" xfId="954" xr:uid="{00000000-0005-0000-0000-0000BA030000}"/>
    <cellStyle name="s955" xfId="955" xr:uid="{00000000-0005-0000-0000-0000BB030000}"/>
    <cellStyle name="s956" xfId="956" xr:uid="{00000000-0005-0000-0000-0000BC030000}"/>
    <cellStyle name="s957" xfId="957" xr:uid="{00000000-0005-0000-0000-0000BD030000}"/>
    <cellStyle name="s958" xfId="958" xr:uid="{00000000-0005-0000-0000-0000BE030000}"/>
    <cellStyle name="s959" xfId="959" xr:uid="{00000000-0005-0000-0000-0000BF030000}"/>
    <cellStyle name="s96" xfId="96" xr:uid="{00000000-0005-0000-0000-000060000000}"/>
    <cellStyle name="s960" xfId="960" xr:uid="{00000000-0005-0000-0000-0000C0030000}"/>
    <cellStyle name="s961" xfId="961" xr:uid="{00000000-0005-0000-0000-0000C1030000}"/>
    <cellStyle name="s962" xfId="962" xr:uid="{00000000-0005-0000-0000-0000C2030000}"/>
    <cellStyle name="s963" xfId="963" xr:uid="{00000000-0005-0000-0000-0000C3030000}"/>
    <cellStyle name="s964" xfId="964" xr:uid="{00000000-0005-0000-0000-0000C4030000}"/>
    <cellStyle name="s965" xfId="965" xr:uid="{00000000-0005-0000-0000-0000C5030000}"/>
    <cellStyle name="s966" xfId="966" xr:uid="{00000000-0005-0000-0000-0000C6030000}"/>
    <cellStyle name="s967" xfId="967" xr:uid="{00000000-0005-0000-0000-0000C7030000}"/>
    <cellStyle name="s968" xfId="968" xr:uid="{00000000-0005-0000-0000-0000C8030000}"/>
    <cellStyle name="s969" xfId="969" xr:uid="{00000000-0005-0000-0000-0000C9030000}"/>
    <cellStyle name="s97" xfId="97" xr:uid="{00000000-0005-0000-0000-000061000000}"/>
    <cellStyle name="s970" xfId="970" xr:uid="{00000000-0005-0000-0000-0000CA030000}"/>
    <cellStyle name="s971" xfId="971" xr:uid="{00000000-0005-0000-0000-0000CB030000}"/>
    <cellStyle name="s972" xfId="972" xr:uid="{00000000-0005-0000-0000-0000CC030000}"/>
    <cellStyle name="s973" xfId="973" xr:uid="{00000000-0005-0000-0000-0000CD030000}"/>
    <cellStyle name="s974" xfId="974" xr:uid="{00000000-0005-0000-0000-0000CE030000}"/>
    <cellStyle name="s975" xfId="975" xr:uid="{00000000-0005-0000-0000-0000CF030000}"/>
    <cellStyle name="s976" xfId="976" xr:uid="{00000000-0005-0000-0000-0000D0030000}"/>
    <cellStyle name="s977" xfId="977" xr:uid="{00000000-0005-0000-0000-0000D1030000}"/>
    <cellStyle name="s978" xfId="978" xr:uid="{00000000-0005-0000-0000-0000D2030000}"/>
    <cellStyle name="s979" xfId="979" xr:uid="{00000000-0005-0000-0000-0000D3030000}"/>
    <cellStyle name="s98" xfId="98" xr:uid="{00000000-0005-0000-0000-000062000000}"/>
    <cellStyle name="s980" xfId="980" xr:uid="{00000000-0005-0000-0000-0000D4030000}"/>
    <cellStyle name="s981" xfId="981" xr:uid="{00000000-0005-0000-0000-0000D5030000}"/>
    <cellStyle name="s982" xfId="982" xr:uid="{00000000-0005-0000-0000-0000D6030000}"/>
    <cellStyle name="s983" xfId="983" xr:uid="{00000000-0005-0000-0000-0000D7030000}"/>
    <cellStyle name="s984" xfId="984" xr:uid="{00000000-0005-0000-0000-0000D8030000}"/>
    <cellStyle name="s985" xfId="985" xr:uid="{00000000-0005-0000-0000-0000D9030000}"/>
    <cellStyle name="s986" xfId="986" xr:uid="{00000000-0005-0000-0000-0000DA030000}"/>
    <cellStyle name="s987" xfId="987" xr:uid="{00000000-0005-0000-0000-0000DB030000}"/>
    <cellStyle name="s988" xfId="988" xr:uid="{00000000-0005-0000-0000-0000DC030000}"/>
    <cellStyle name="s989" xfId="989" xr:uid="{00000000-0005-0000-0000-0000DD030000}"/>
    <cellStyle name="s99" xfId="99" xr:uid="{00000000-0005-0000-0000-000063000000}"/>
    <cellStyle name="s990" xfId="990" xr:uid="{00000000-0005-0000-0000-0000DE030000}"/>
    <cellStyle name="s991" xfId="991" xr:uid="{00000000-0005-0000-0000-0000DF030000}"/>
    <cellStyle name="s992" xfId="992" xr:uid="{00000000-0005-0000-0000-0000E0030000}"/>
    <cellStyle name="s993" xfId="993" xr:uid="{00000000-0005-0000-0000-0000E1030000}"/>
    <cellStyle name="s994" xfId="994" xr:uid="{00000000-0005-0000-0000-0000E2030000}"/>
    <cellStyle name="s995" xfId="995" xr:uid="{00000000-0005-0000-0000-0000E3030000}"/>
    <cellStyle name="s996" xfId="996" xr:uid="{00000000-0005-0000-0000-0000E4030000}"/>
    <cellStyle name="s997" xfId="997" xr:uid="{00000000-0005-0000-0000-0000E5030000}"/>
    <cellStyle name="s998" xfId="998" xr:uid="{00000000-0005-0000-0000-0000E6030000}"/>
    <cellStyle name="s999" xfId="999" xr:uid="{00000000-0005-0000-0000-0000E703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56C1-76D4-AA6D-9B0A-FE9499585835}">
  <dimension ref="B1:AA21"/>
  <sheetViews>
    <sheetView showGridLines="0" showRowColHeaders="0" workbookViewId="0"/>
  </sheetViews>
  <sheetFormatPr defaultColWidth="11" defaultRowHeight="12.75" customHeight="1"/>
  <cols>
    <col min="1" max="1" width="5.42578125" customWidth="1"/>
    <col min="2" max="2" width="9.140625" customWidth="1"/>
    <col min="3" max="3" width="16.42578125" customWidth="1"/>
    <col min="4" max="25" width="6.28515625" customWidth="1"/>
  </cols>
  <sheetData>
    <row r="1" spans="2:27" ht="15.75" customHeight="1">
      <c r="AA1" s="1" t="s">
        <v>0</v>
      </c>
    </row>
    <row r="2" spans="2:27" ht="17.25" customHeight="1">
      <c r="B2" s="969" t="s">
        <v>1</v>
      </c>
      <c r="C2" s="964"/>
      <c r="D2" s="964"/>
      <c r="E2" s="964"/>
      <c r="F2" s="964"/>
      <c r="G2" s="964"/>
      <c r="H2" s="964"/>
      <c r="I2" s="964"/>
      <c r="J2" s="964"/>
      <c r="K2" s="964"/>
      <c r="L2" s="964"/>
      <c r="M2" s="964"/>
      <c r="N2" s="964"/>
      <c r="O2" s="964"/>
      <c r="P2" s="964"/>
    </row>
    <row r="3" spans="2:27" ht="15.75" customHeight="1">
      <c r="B3" s="970" t="s">
        <v>2</v>
      </c>
      <c r="C3" s="964"/>
      <c r="D3" s="964"/>
      <c r="E3" s="964"/>
      <c r="F3" s="964"/>
      <c r="G3" s="964"/>
      <c r="H3" s="964"/>
      <c r="I3" s="964"/>
      <c r="J3" s="964"/>
      <c r="K3" s="964"/>
      <c r="L3" s="964"/>
      <c r="M3" s="964"/>
      <c r="N3" s="964"/>
      <c r="O3" s="964"/>
      <c r="P3" s="964"/>
    </row>
    <row r="4" spans="2:27" ht="17.25" customHeight="1"/>
    <row r="5" spans="2:27" ht="22.5" customHeight="1">
      <c r="B5" s="9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972"/>
      <c r="D5" s="972"/>
      <c r="E5" s="972"/>
      <c r="F5" s="972"/>
      <c r="G5" s="972"/>
      <c r="H5" s="972"/>
      <c r="I5" s="972"/>
      <c r="J5" s="972"/>
      <c r="K5" s="972"/>
      <c r="L5" s="972"/>
      <c r="M5" s="972"/>
      <c r="N5" s="972"/>
      <c r="O5" s="972"/>
      <c r="P5" s="972"/>
      <c r="Q5" s="972"/>
      <c r="R5" s="972"/>
      <c r="S5" s="972"/>
      <c r="T5" s="972"/>
      <c r="U5" s="972"/>
      <c r="V5" s="972"/>
      <c r="W5" s="972"/>
      <c r="X5" s="972"/>
      <c r="Y5" s="973"/>
    </row>
    <row r="6" spans="2:27" ht="15" customHeight="1">
      <c r="B6" s="961" t="s">
        <v>3</v>
      </c>
      <c r="C6" s="965"/>
      <c r="Z6" s="2"/>
    </row>
    <row r="7" spans="2:27" ht="15" customHeight="1">
      <c r="B7" s="961"/>
      <c r="C7" s="965"/>
      <c r="Z7" s="2"/>
    </row>
    <row r="8" spans="2:27" ht="15" customHeight="1">
      <c r="B8" s="961"/>
      <c r="C8" s="965"/>
      <c r="E8" s="3" t="s">
        <v>4</v>
      </c>
      <c r="F8" s="974" t="s">
        <v>5</v>
      </c>
      <c r="G8" s="964"/>
      <c r="H8" s="964"/>
      <c r="I8" s="964"/>
      <c r="J8" s="964"/>
      <c r="K8" s="964"/>
      <c r="L8" s="964"/>
      <c r="M8" s="964"/>
      <c r="O8" s="4" t="s">
        <v>4</v>
      </c>
      <c r="P8" s="975" t="s">
        <v>6</v>
      </c>
      <c r="Q8" s="964"/>
      <c r="R8" s="964"/>
      <c r="S8" s="964"/>
      <c r="T8" s="964"/>
      <c r="U8" s="964"/>
      <c r="V8" s="964"/>
      <c r="W8" s="964"/>
      <c r="X8" s="964"/>
      <c r="Z8" s="2"/>
    </row>
    <row r="9" spans="2:27" ht="15" customHeight="1">
      <c r="B9" s="961"/>
      <c r="C9" s="965"/>
      <c r="E9" s="5" t="s">
        <v>4</v>
      </c>
      <c r="F9" s="974" t="s">
        <v>7</v>
      </c>
      <c r="G9" s="964"/>
      <c r="H9" s="964"/>
      <c r="I9" s="964"/>
      <c r="J9" s="964"/>
      <c r="K9" s="964"/>
      <c r="L9" s="964"/>
      <c r="M9" s="964"/>
      <c r="O9" s="6" t="s">
        <v>4</v>
      </c>
      <c r="P9" s="975" t="s">
        <v>8</v>
      </c>
      <c r="Q9" s="964"/>
      <c r="R9" s="964"/>
      <c r="S9" s="964"/>
      <c r="T9" s="964"/>
      <c r="U9" s="964"/>
      <c r="V9" s="964"/>
      <c r="W9" s="964"/>
      <c r="X9" s="964"/>
      <c r="Z9" s="2"/>
    </row>
    <row r="10" spans="2:27" ht="30" customHeight="1">
      <c r="B10" s="961"/>
      <c r="C10" s="962"/>
      <c r="D10" s="7"/>
      <c r="E10" s="8"/>
      <c r="O10" s="8"/>
      <c r="Z10" s="2"/>
    </row>
    <row r="11" spans="2:27" ht="19.5" customHeight="1">
      <c r="B11" s="959" t="s">
        <v>9</v>
      </c>
      <c r="C11" s="960"/>
      <c r="Z11" s="2"/>
    </row>
    <row r="12" spans="2:27" ht="69" customHeight="1">
      <c r="B12" s="961"/>
      <c r="C12" s="962"/>
      <c r="D12" s="9"/>
      <c r="E12" s="963" t="s">
        <v>10</v>
      </c>
      <c r="F12" s="964"/>
      <c r="G12" s="964"/>
      <c r="H12" s="964"/>
      <c r="I12" s="964"/>
      <c r="J12" s="964"/>
      <c r="K12" s="964"/>
      <c r="L12" s="964"/>
      <c r="M12" s="964"/>
      <c r="N12" s="964"/>
      <c r="O12" s="964"/>
      <c r="P12" s="964"/>
      <c r="Q12" s="964"/>
      <c r="R12" s="964"/>
      <c r="S12" s="964"/>
      <c r="T12" s="964"/>
      <c r="U12" s="964"/>
      <c r="V12" s="964"/>
      <c r="W12" s="964"/>
      <c r="X12" s="964"/>
      <c r="Z12" s="2"/>
    </row>
    <row r="13" spans="2:27" ht="15" customHeight="1">
      <c r="B13" s="959" t="s">
        <v>11</v>
      </c>
      <c r="C13" s="960"/>
      <c r="Z13" s="2"/>
    </row>
    <row r="14" spans="2:27" ht="57" customHeight="1">
      <c r="B14" s="961"/>
      <c r="C14" s="965"/>
      <c r="E14" s="968" t="s">
        <v>12</v>
      </c>
      <c r="F14" s="964"/>
      <c r="G14" s="964"/>
      <c r="H14" s="964"/>
      <c r="I14" s="964"/>
      <c r="J14" s="964"/>
      <c r="K14" s="964"/>
      <c r="L14" s="964"/>
      <c r="M14" s="964"/>
      <c r="N14" s="964"/>
      <c r="O14" s="964"/>
      <c r="P14" s="964"/>
      <c r="Q14" s="964"/>
      <c r="R14" s="964"/>
      <c r="S14" s="964"/>
      <c r="T14" s="964"/>
      <c r="U14" s="964"/>
      <c r="V14" s="964"/>
      <c r="W14" s="964"/>
      <c r="X14" s="964"/>
      <c r="Z14" s="2"/>
    </row>
    <row r="15" spans="2:27" ht="16.5" customHeight="1">
      <c r="B15" s="966"/>
      <c r="C15" s="967"/>
      <c r="D15" s="10"/>
      <c r="E15" s="11"/>
      <c r="F15" s="11"/>
      <c r="G15" s="11"/>
      <c r="H15" s="11"/>
      <c r="I15" s="11"/>
      <c r="J15" s="11"/>
      <c r="K15" s="11"/>
      <c r="L15" s="11"/>
      <c r="M15" s="11"/>
      <c r="N15" s="11"/>
      <c r="O15" s="11"/>
      <c r="P15" s="11"/>
      <c r="Q15" s="11"/>
      <c r="R15" s="11"/>
      <c r="S15" s="11"/>
      <c r="T15" s="11"/>
      <c r="U15" s="11"/>
      <c r="V15" s="11"/>
      <c r="W15" s="11"/>
      <c r="X15" s="11"/>
      <c r="Y15" s="12"/>
      <c r="Z15" s="2"/>
    </row>
    <row r="16" spans="2:27" ht="95.25" customHeight="1">
      <c r="B16" s="964"/>
      <c r="C16" s="964"/>
      <c r="D16" s="964"/>
      <c r="E16" s="964"/>
      <c r="F16" s="964"/>
      <c r="G16" s="964"/>
      <c r="H16" s="964"/>
      <c r="I16" s="964"/>
      <c r="J16" s="964"/>
      <c r="K16" s="964"/>
      <c r="L16" s="964"/>
      <c r="M16" s="964"/>
      <c r="N16" s="964"/>
      <c r="O16" s="964"/>
      <c r="P16" s="964"/>
      <c r="Q16" s="964"/>
      <c r="R16" s="964"/>
      <c r="S16" s="964"/>
      <c r="T16" s="964"/>
      <c r="U16" s="964"/>
      <c r="V16" s="964"/>
      <c r="W16" s="964"/>
      <c r="X16" s="964"/>
      <c r="Y16" s="964"/>
    </row>
    <row r="17" ht="14.25" customHeight="1"/>
    <row r="18" ht="14.25" customHeight="1"/>
    <row r="19" ht="14.25" customHeight="1"/>
    <row r="20" ht="14.25" customHeight="1"/>
    <row r="21" ht="14.25" customHeight="1"/>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D8EC-470E-7BFF-478D-089DB5524E72}">
  <sheetPr>
    <tabColor rgb="FFCCCCFF"/>
    <pageSetUpPr fitToPage="1"/>
  </sheetPr>
  <dimension ref="A1:Q79"/>
  <sheetViews>
    <sheetView showGridLines="0" topLeftCell="C1" zoomScale="90" workbookViewId="0">
      <selection activeCell="E2" sqref="E2:F70"/>
    </sheetView>
  </sheetViews>
  <sheetFormatPr defaultColWidth="9.140625" defaultRowHeight="11.25" customHeight="1"/>
  <cols>
    <col min="1" max="2" width="10.7109375" hidden="1" customWidth="1"/>
    <col min="3" max="3" width="3" customWidth="1"/>
    <col min="4" max="4" width="1" customWidth="1"/>
    <col min="5" max="6" width="55" customWidth="1"/>
    <col min="7" max="7" width="1" customWidth="1"/>
    <col min="8" max="8" width="18" hidden="1" customWidth="1"/>
    <col min="9" max="9" width="59" customWidth="1"/>
    <col min="10" max="10" width="52.140625" hidden="1" customWidth="1"/>
    <col min="11" max="11" width="8" customWidth="1"/>
    <col min="12" max="12" width="77" customWidth="1"/>
    <col min="13" max="16" width="8" customWidth="1"/>
    <col min="17" max="17" width="12" hidden="1" customWidth="1"/>
  </cols>
  <sheetData>
    <row r="1" spans="1:17" ht="3" customHeight="1">
      <c r="F1" s="13" t="s">
        <v>13</v>
      </c>
      <c r="Q1" s="13" t="s">
        <v>14</v>
      </c>
    </row>
    <row r="2" spans="1:17" ht="14.25" customHeight="1">
      <c r="E2" s="14" t="str">
        <f>code</f>
        <v>Код отчёта: PP110.OPEN.INFO.QUARTER.HEAT.EIAS</v>
      </c>
      <c r="Q2" s="15">
        <v>14</v>
      </c>
    </row>
    <row r="3" spans="1:17" ht="14.65" customHeight="1">
      <c r="E3" s="16" t="str">
        <f>version</f>
        <v>Версия отчёта: 1.1.1</v>
      </c>
      <c r="Q3" s="17">
        <v>14</v>
      </c>
    </row>
    <row r="4" spans="1:17" ht="6.4" customHeight="1">
      <c r="D4" s="18"/>
      <c r="Q4" s="19">
        <v>6</v>
      </c>
    </row>
    <row r="5" spans="1:17" ht="39.75" customHeight="1">
      <c r="D5" s="20"/>
      <c r="E5" s="97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977"/>
      <c r="G5" s="23"/>
      <c r="Q5" s="17">
        <v>38</v>
      </c>
    </row>
    <row r="6" spans="1:17" ht="6.4" customHeight="1">
      <c r="D6" s="18"/>
      <c r="E6" s="24"/>
      <c r="F6" s="25"/>
      <c r="G6" s="23"/>
      <c r="Q6" s="19">
        <v>6</v>
      </c>
    </row>
    <row r="7" spans="1:17" ht="21" customHeight="1">
      <c r="D7" s="20"/>
      <c r="E7" s="26" t="s">
        <v>15</v>
      </c>
      <c r="F7" s="27" t="s">
        <v>16</v>
      </c>
      <c r="G7" s="23"/>
      <c r="Q7" s="17">
        <v>20</v>
      </c>
    </row>
    <row r="8" spans="1:17" ht="6.4" customHeight="1">
      <c r="A8" s="28"/>
      <c r="D8" s="29"/>
      <c r="E8" s="24"/>
      <c r="F8" s="30"/>
      <c r="G8" s="31"/>
      <c r="Q8" s="19">
        <v>6</v>
      </c>
    </row>
    <row r="9" spans="1:17" ht="19.5" hidden="1" customHeight="1">
      <c r="D9" s="20"/>
      <c r="E9" s="26" t="s">
        <v>17</v>
      </c>
      <c r="F9" s="32"/>
      <c r="G9" s="23"/>
      <c r="I9" s="33" t="str">
        <f>IF(TITLE_STRUCTURE_INFO_ROIV="","","раскрывается "&amp;INDEX(ROIV_INFO_COMMENT,MATCH(TITLE_STRUCTURE_INFO_ROIV,ROIV_INFO_LIST,0)))</f>
        <v/>
      </c>
      <c r="Q9" s="17">
        <v>0</v>
      </c>
    </row>
    <row r="10" spans="1:17" ht="24" hidden="1" customHeight="1">
      <c r="A10" s="28"/>
      <c r="D10" s="29"/>
      <c r="E10" s="26" t="s">
        <v>18</v>
      </c>
      <c r="F10" s="34" t="s">
        <v>19</v>
      </c>
      <c r="G10" s="31"/>
      <c r="Q10" s="19">
        <v>24</v>
      </c>
    </row>
    <row r="11" spans="1:17" ht="22.5" hidden="1" customHeight="1">
      <c r="A11" s="979" t="s">
        <v>20</v>
      </c>
      <c r="D11" s="20"/>
      <c r="E11" s="26" t="s">
        <v>21</v>
      </c>
      <c r="F11" s="35" t="s">
        <v>22</v>
      </c>
      <c r="G11" s="31"/>
      <c r="H11" s="36" t="s">
        <v>23</v>
      </c>
      <c r="J11" s="37" t="s">
        <v>24</v>
      </c>
      <c r="Q11" s="17">
        <v>0</v>
      </c>
    </row>
    <row r="12" spans="1:17" ht="22.5" hidden="1" customHeight="1">
      <c r="A12" s="979"/>
      <c r="D12" s="20"/>
      <c r="E12" s="26" t="s">
        <v>25</v>
      </c>
      <c r="F12" s="35"/>
      <c r="G12" s="38"/>
      <c r="J12" s="37" t="s">
        <v>26</v>
      </c>
      <c r="Q12" s="17">
        <v>0</v>
      </c>
    </row>
    <row r="13" spans="1:17" ht="22.5" hidden="1" customHeight="1">
      <c r="A13" s="39" t="s">
        <v>27</v>
      </c>
      <c r="D13" s="20"/>
      <c r="E13" s="40" t="s">
        <v>28</v>
      </c>
      <c r="F13" s="35" t="s">
        <v>22</v>
      </c>
      <c r="G13" s="31"/>
      <c r="J13" s="41" t="s">
        <v>29</v>
      </c>
      <c r="Q13" s="17">
        <v>0</v>
      </c>
    </row>
    <row r="14" spans="1:17" ht="27" customHeight="1">
      <c r="A14" s="39" t="s">
        <v>30</v>
      </c>
      <c r="D14" s="20"/>
      <c r="E14" s="26" t="s">
        <v>31</v>
      </c>
      <c r="F14" s="42">
        <v>2025</v>
      </c>
      <c r="G14" s="31"/>
      <c r="J14" s="37" t="s">
        <v>32</v>
      </c>
      <c r="Q14" s="17">
        <v>0</v>
      </c>
    </row>
    <row r="15" spans="1:17" ht="19.5" customHeight="1">
      <c r="A15" s="39" t="s">
        <v>33</v>
      </c>
      <c r="D15" s="20"/>
      <c r="E15" s="26" t="s">
        <v>34</v>
      </c>
      <c r="F15" s="42" t="s">
        <v>35</v>
      </c>
      <c r="G15" s="31"/>
      <c r="J15" s="37" t="s">
        <v>36</v>
      </c>
      <c r="Q15" s="17">
        <v>0</v>
      </c>
    </row>
    <row r="16" spans="1:17" ht="6.4" customHeight="1">
      <c r="A16" s="28"/>
      <c r="D16" s="29"/>
      <c r="E16" s="24"/>
      <c r="F16" s="30"/>
      <c r="G16" s="31"/>
      <c r="Q16" s="19">
        <v>6</v>
      </c>
    </row>
    <row r="17" spans="1:17" ht="21" customHeight="1">
      <c r="D17" s="20"/>
      <c r="E17" s="26" t="s">
        <v>37</v>
      </c>
      <c r="F17" s="43" t="s">
        <v>38</v>
      </c>
      <c r="G17" s="38"/>
      <c r="H17" s="36" t="s">
        <v>23</v>
      </c>
      <c r="Q17" s="17">
        <v>20</v>
      </c>
    </row>
    <row r="18" spans="1:17" ht="25.5" hidden="1" customHeight="1">
      <c r="D18" s="20"/>
      <c r="E18" s="40" t="s">
        <v>39</v>
      </c>
      <c r="F18" s="44"/>
      <c r="G18" s="38"/>
      <c r="I18" s="45"/>
      <c r="J18" s="978" t="s">
        <v>40</v>
      </c>
      <c r="Q18" s="17">
        <v>0</v>
      </c>
    </row>
    <row r="19" spans="1:17" ht="25.5" hidden="1" customHeight="1">
      <c r="D19" s="20"/>
      <c r="E19" s="2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44"/>
      <c r="G19" s="38"/>
      <c r="I19" s="45"/>
      <c r="J19" s="964"/>
      <c r="Q19" s="17">
        <v>0</v>
      </c>
    </row>
    <row r="20" spans="1:17" ht="22.5" hidden="1" customHeight="1">
      <c r="D20" s="20"/>
      <c r="E20" s="46"/>
      <c r="F20" s="47" t="str">
        <f>"Первичное "&amp;IF(TEMPLATE_GROUP="P","установление тарифов","предложение по тарифам")</f>
        <v>Первичное предложение по тарифам</v>
      </c>
      <c r="G20" s="38"/>
      <c r="I20" s="31"/>
      <c r="J20" s="48" t="s">
        <v>41</v>
      </c>
      <c r="Q20" s="17">
        <v>0</v>
      </c>
    </row>
    <row r="21" spans="1:17" ht="19.5" hidden="1" customHeight="1">
      <c r="D21" s="20"/>
      <c r="E21" s="26" t="str">
        <f>"Дата "&amp;IF(TEMPLATE_GROUP="P","документа","подачи заявления")&amp;" об утверждении тарифов"</f>
        <v>Дата подачи заявления об утверждении тарифов</v>
      </c>
      <c r="F21" s="35"/>
      <c r="G21" s="38"/>
      <c r="I21" s="49"/>
      <c r="Q21" s="17">
        <v>0</v>
      </c>
    </row>
    <row r="22" spans="1:17" ht="19.5" hidden="1" customHeight="1">
      <c r="D22" s="20"/>
      <c r="E22" s="26" t="str">
        <f>"Номер "&amp;IF(TEMPLATE_GROUP="P","документа","подачи заявления")&amp;" об утверждении тарифов"</f>
        <v>Номер подачи заявления об утверждении тарифов</v>
      </c>
      <c r="F22" s="43"/>
      <c r="G22" s="38"/>
      <c r="I22" s="49"/>
      <c r="Q22" s="17">
        <v>0</v>
      </c>
    </row>
    <row r="23" spans="1:17" ht="22.5" hidden="1" customHeight="1">
      <c r="D23" s="20"/>
      <c r="E23" s="26" t="s">
        <v>42</v>
      </c>
      <c r="F23" s="43"/>
      <c r="G23" s="38"/>
      <c r="Q23" s="17">
        <v>0</v>
      </c>
    </row>
    <row r="24" spans="1:17" ht="19.5" hidden="1" customHeight="1">
      <c r="D24" s="20"/>
      <c r="E24" s="26" t="s">
        <v>43</v>
      </c>
      <c r="F24" s="43"/>
      <c r="G24" s="38"/>
      <c r="Q24" s="17">
        <v>0</v>
      </c>
    </row>
    <row r="25" spans="1:17" ht="22.5" hidden="1" customHeight="1">
      <c r="D25" s="20"/>
      <c r="E25" s="46"/>
      <c r="F25" s="47" t="str">
        <f>"Изменение "&amp;IF(TEMPLATE_GROUP="P","тарифов","предложения по тарифам")</f>
        <v>Изменение предложения по тарифам</v>
      </c>
      <c r="G25" s="38"/>
      <c r="J25" s="48" t="s">
        <v>44</v>
      </c>
      <c r="Q25" s="17">
        <v>0</v>
      </c>
    </row>
    <row r="26" spans="1:17" ht="19.5" hidden="1" customHeight="1">
      <c r="D26" s="20"/>
      <c r="E26" s="26" t="str">
        <f>"Дата "&amp;IF(TEMPLATE_GROUP="P","принятия решения","подачи заявления")&amp;" об изменении тарифов"</f>
        <v>Дата подачи заявления об изменении тарифов</v>
      </c>
      <c r="F26" s="44"/>
      <c r="G26" s="38"/>
      <c r="Q26" s="17">
        <v>0</v>
      </c>
    </row>
    <row r="27" spans="1:17" ht="19.5" hidden="1" customHeight="1">
      <c r="D27" s="20"/>
      <c r="E27" s="26" t="str">
        <f>"Номер "&amp;IF(TEMPLATE_GROUP="P","принятия решения","заявления")&amp;" об изменении тарифов"</f>
        <v>Номер заявления об изменении тарифов</v>
      </c>
      <c r="F27" s="50"/>
      <c r="G27" s="38"/>
      <c r="Q27" s="17">
        <v>0</v>
      </c>
    </row>
    <row r="28" spans="1:17" ht="24.75" hidden="1" customHeight="1">
      <c r="D28" s="20"/>
      <c r="E28" s="26" t="s">
        <v>45</v>
      </c>
      <c r="F28" s="50"/>
      <c r="G28" s="38"/>
      <c r="Q28" s="17">
        <v>0</v>
      </c>
    </row>
    <row r="29" spans="1:17" ht="19.5" hidden="1" customHeight="1">
      <c r="D29" s="20"/>
      <c r="E29" s="26" t="s">
        <v>43</v>
      </c>
      <c r="F29" s="50"/>
      <c r="G29" s="38"/>
      <c r="Q29" s="17">
        <v>0</v>
      </c>
    </row>
    <row r="30" spans="1:17" ht="6.4" customHeight="1">
      <c r="A30" s="28"/>
      <c r="D30" s="29"/>
      <c r="E30" s="24"/>
      <c r="F30" s="30"/>
      <c r="G30" s="31"/>
      <c r="Q30" s="19">
        <v>6</v>
      </c>
    </row>
    <row r="31" spans="1:17" ht="21" customHeight="1">
      <c r="D31" s="51"/>
      <c r="E31" s="26" t="str">
        <f>"Наименование "&amp;IF(TEMPLATE_GROUP="ROIV","органа тарифного регулирования","ЮЛ / ИП")</f>
        <v>Наименование ЮЛ / ИП</v>
      </c>
      <c r="F31" s="52" t="s">
        <v>46</v>
      </c>
      <c r="G31" s="53"/>
      <c r="Q31" s="17">
        <v>20</v>
      </c>
    </row>
    <row r="32" spans="1:17" ht="21" hidden="1" customHeight="1">
      <c r="D32" s="51"/>
      <c r="E32" s="54" t="s">
        <v>47</v>
      </c>
      <c r="F32" s="52"/>
      <c r="G32" s="53"/>
      <c r="Q32" s="17">
        <v>20</v>
      </c>
    </row>
    <row r="33" spans="1:17" ht="21" customHeight="1">
      <c r="D33" s="51"/>
      <c r="E33" s="26" t="s">
        <v>48</v>
      </c>
      <c r="F33" s="52" t="s">
        <v>49</v>
      </c>
      <c r="G33" s="53"/>
      <c r="Q33" s="17">
        <v>20</v>
      </c>
    </row>
    <row r="34" spans="1:17" ht="21" customHeight="1">
      <c r="D34" s="51"/>
      <c r="E34" s="26" t="s">
        <v>50</v>
      </c>
      <c r="F34" s="52" t="s">
        <v>51</v>
      </c>
      <c r="G34" s="53"/>
      <c r="Q34" s="17">
        <v>20</v>
      </c>
    </row>
    <row r="35" spans="1:17" ht="11.45" customHeight="1">
      <c r="A35" s="28"/>
      <c r="D35" s="29"/>
      <c r="E35" s="24"/>
      <c r="F35" s="30"/>
      <c r="G35" s="31"/>
      <c r="Q35" s="19">
        <v>11</v>
      </c>
    </row>
    <row r="36" spans="1:17" ht="19.5" customHeight="1">
      <c r="A36" s="55"/>
      <c r="D36" s="51"/>
      <c r="E36" s="26" t="s">
        <v>52</v>
      </c>
      <c r="F36" s="56" t="s">
        <v>53</v>
      </c>
      <c r="G36" s="31"/>
      <c r="Q36" s="17">
        <v>0</v>
      </c>
    </row>
    <row r="37" spans="1:17" ht="21" customHeight="1">
      <c r="A37" s="55"/>
      <c r="D37" s="51"/>
      <c r="E37" s="26" t="s">
        <v>54</v>
      </c>
      <c r="F37" s="56" t="s">
        <v>55</v>
      </c>
      <c r="G37" s="31"/>
      <c r="Q37" s="17">
        <v>20</v>
      </c>
    </row>
    <row r="38" spans="1:17" ht="6.4" customHeight="1">
      <c r="A38" s="28"/>
      <c r="D38" s="18"/>
      <c r="E38" s="57"/>
      <c r="F38" s="58"/>
      <c r="G38" s="38"/>
      <c r="Q38" s="19">
        <v>6</v>
      </c>
    </row>
    <row r="39" spans="1:17" ht="36.75" customHeight="1">
      <c r="A39" s="28"/>
      <c r="D39" s="20"/>
      <c r="E39" s="26" t="s">
        <v>56</v>
      </c>
      <c r="F39" s="34" t="s">
        <v>19</v>
      </c>
      <c r="G39" s="38"/>
      <c r="H39" s="36" t="s">
        <v>23</v>
      </c>
      <c r="Q39" s="17">
        <v>35</v>
      </c>
    </row>
    <row r="40" spans="1:17" ht="6.4" hidden="1" customHeight="1">
      <c r="D40" s="18"/>
      <c r="E40" s="57"/>
      <c r="F40" s="58"/>
      <c r="G40" s="38"/>
      <c r="Q40" s="19">
        <v>6</v>
      </c>
    </row>
    <row r="41" spans="1:17" ht="26.25" hidden="1" customHeight="1">
      <c r="A41" s="39" t="s">
        <v>27</v>
      </c>
      <c r="D41" s="20"/>
      <c r="E41" s="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34" t="s">
        <v>19</v>
      </c>
      <c r="G41" s="38"/>
      <c r="Q41" s="17">
        <v>0</v>
      </c>
    </row>
    <row r="42" spans="1:17" ht="6" hidden="1" customHeight="1">
      <c r="D42" s="18"/>
      <c r="E42" s="57"/>
      <c r="F42" s="58"/>
      <c r="G42" s="38"/>
      <c r="Q42" s="19">
        <v>0</v>
      </c>
    </row>
    <row r="43" spans="1:17" ht="27" hidden="1" customHeight="1">
      <c r="D43" s="20"/>
      <c r="E43" s="26" t="s">
        <v>57</v>
      </c>
      <c r="F43" s="34" t="s">
        <v>19</v>
      </c>
      <c r="G43" s="38"/>
      <c r="Q43" s="17">
        <v>0</v>
      </c>
    </row>
    <row r="44" spans="1:17" ht="27" hidden="1" customHeight="1">
      <c r="D44" s="20"/>
      <c r="E44" s="26" t="s">
        <v>58</v>
      </c>
      <c r="F44" s="59"/>
      <c r="G44" s="38"/>
      <c r="Q44" s="17">
        <v>0</v>
      </c>
    </row>
    <row r="45" spans="1:17" ht="6" hidden="1" customHeight="1">
      <c r="D45" s="18"/>
      <c r="E45" s="57"/>
      <c r="F45" s="58"/>
      <c r="G45" s="38"/>
      <c r="Q45" s="19">
        <v>0</v>
      </c>
    </row>
    <row r="46" spans="1:17" ht="24.75" hidden="1" customHeight="1">
      <c r="D46" s="18"/>
      <c r="E46" s="26" t="s">
        <v>59</v>
      </c>
      <c r="F46" s="34" t="s">
        <v>19</v>
      </c>
      <c r="G46" s="38"/>
      <c r="Q46" s="19">
        <v>0</v>
      </c>
    </row>
    <row r="47" spans="1:17" ht="24.75" hidden="1" customHeight="1">
      <c r="D47" s="20"/>
      <c r="E47" s="26" t="s">
        <v>60</v>
      </c>
      <c r="F47" s="34" t="s">
        <v>19</v>
      </c>
      <c r="G47" s="38"/>
      <c r="Q47" s="17">
        <v>0</v>
      </c>
    </row>
    <row r="48" spans="1:17" ht="6" hidden="1" customHeight="1">
      <c r="D48" s="18"/>
      <c r="E48" s="57"/>
      <c r="F48" s="58"/>
      <c r="G48" s="38"/>
      <c r="Q48" s="19">
        <v>0</v>
      </c>
    </row>
    <row r="49" spans="1:17" ht="29.25" hidden="1" customHeight="1">
      <c r="D49" s="20"/>
      <c r="E49" s="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34"/>
      <c r="G49" s="38"/>
      <c r="Q49" s="17">
        <v>0</v>
      </c>
    </row>
    <row r="50" spans="1:17" ht="6" hidden="1" customHeight="1">
      <c r="A50" s="28"/>
      <c r="D50" s="29"/>
      <c r="E50" s="24"/>
      <c r="F50" s="30"/>
      <c r="G50" s="31"/>
      <c r="Q50" s="19">
        <v>0</v>
      </c>
    </row>
    <row r="51" spans="1:17" ht="28.5" hidden="1" customHeight="1">
      <c r="E51" s="26" t="s">
        <v>61</v>
      </c>
      <c r="F51" s="34" t="s">
        <v>19</v>
      </c>
      <c r="Q51" s="17">
        <v>0</v>
      </c>
    </row>
    <row r="52" spans="1:17" ht="6" hidden="1" customHeight="1">
      <c r="A52" s="28"/>
      <c r="D52" s="29"/>
      <c r="E52" s="24"/>
      <c r="F52" s="30"/>
      <c r="G52" s="31"/>
      <c r="Q52" s="19">
        <v>0</v>
      </c>
    </row>
    <row r="53" spans="1:17" ht="27" hidden="1" customHeight="1">
      <c r="E53" s="26" t="s">
        <v>62</v>
      </c>
      <c r="F53" s="60" t="s">
        <v>19</v>
      </c>
      <c r="Q53" s="17">
        <v>0</v>
      </c>
    </row>
    <row r="54" spans="1:17" ht="27" hidden="1" customHeight="1">
      <c r="E54" s="26" t="s">
        <v>63</v>
      </c>
      <c r="F54" s="61"/>
      <c r="Q54" s="17">
        <v>0</v>
      </c>
    </row>
    <row r="55" spans="1:17" ht="6" hidden="1" customHeight="1">
      <c r="A55" s="28"/>
      <c r="D55" s="29"/>
      <c r="E55" s="24"/>
      <c r="F55" s="30"/>
      <c r="G55" s="31"/>
      <c r="Q55" s="19">
        <v>0</v>
      </c>
    </row>
    <row r="56" spans="1:17" ht="25.5" hidden="1" customHeight="1">
      <c r="E56" s="26" t="s">
        <v>64</v>
      </c>
      <c r="F56" s="60" t="s">
        <v>19</v>
      </c>
      <c r="Q56" s="17">
        <v>0</v>
      </c>
    </row>
    <row r="57" spans="1:17" ht="6" hidden="1" customHeight="1">
      <c r="A57" s="28"/>
      <c r="D57" s="29"/>
      <c r="E57" s="24"/>
      <c r="F57" s="30"/>
      <c r="G57" s="31"/>
      <c r="Q57" s="19">
        <v>0</v>
      </c>
    </row>
    <row r="58" spans="1:17" ht="15" hidden="1" customHeight="1">
      <c r="E58" s="26" t="s">
        <v>65</v>
      </c>
      <c r="F58" s="60" t="s">
        <v>66</v>
      </c>
      <c r="Q58" s="17">
        <v>0</v>
      </c>
    </row>
    <row r="59" spans="1:17" ht="75" hidden="1" customHeight="1">
      <c r="E59" s="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0"/>
      <c r="Q59" s="17">
        <v>0</v>
      </c>
    </row>
    <row r="60" spans="1:17" ht="15" hidden="1" customHeight="1">
      <c r="E60" s="26" t="s">
        <v>67</v>
      </c>
      <c r="F60" s="62"/>
      <c r="Q60" s="17">
        <v>0</v>
      </c>
    </row>
    <row r="61" spans="1:17" ht="6" hidden="1" customHeight="1">
      <c r="A61" s="28"/>
      <c r="D61" s="18"/>
      <c r="E61" s="57"/>
      <c r="F61" s="58"/>
      <c r="G61" s="38"/>
      <c r="Q61" s="19">
        <v>0</v>
      </c>
    </row>
    <row r="62" spans="1:17" ht="33.75" hidden="1" customHeight="1">
      <c r="A62" s="28"/>
      <c r="D62" s="20"/>
      <c r="E62" s="26" t="s">
        <v>68</v>
      </c>
      <c r="F62" s="34" t="s">
        <v>66</v>
      </c>
      <c r="G62" s="38"/>
      <c r="H62" s="36" t="s">
        <v>23</v>
      </c>
      <c r="Q62" s="17">
        <v>0</v>
      </c>
    </row>
    <row r="63" spans="1:17" ht="6.4" customHeight="1">
      <c r="A63" s="28"/>
      <c r="D63" s="29"/>
      <c r="E63" s="24"/>
      <c r="F63" s="30"/>
      <c r="G63" s="31"/>
      <c r="Q63" s="19">
        <v>6</v>
      </c>
    </row>
    <row r="64" spans="1:17" ht="21" customHeight="1">
      <c r="D64" s="63"/>
      <c r="E64" s="26" t="s">
        <v>69</v>
      </c>
      <c r="F64" s="43" t="s">
        <v>70</v>
      </c>
      <c r="G64" s="31"/>
      <c r="Q64" s="17">
        <v>20</v>
      </c>
    </row>
    <row r="65" spans="1:17" ht="21" customHeight="1">
      <c r="D65" s="63"/>
      <c r="E65" s="26" t="s">
        <v>71</v>
      </c>
      <c r="F65" s="43" t="s">
        <v>72</v>
      </c>
      <c r="G65" s="31"/>
      <c r="Q65" s="17">
        <v>20</v>
      </c>
    </row>
    <row r="66" spans="1:17" ht="36.75" customHeight="1">
      <c r="D66" s="20"/>
      <c r="E66" s="64" t="s">
        <v>73</v>
      </c>
      <c r="G66" s="38"/>
      <c r="Q66" s="17">
        <v>35</v>
      </c>
    </row>
    <row r="67" spans="1:17" ht="21" customHeight="1">
      <c r="D67" s="20"/>
      <c r="E67" s="26" t="s">
        <v>74</v>
      </c>
      <c r="F67" s="43" t="s">
        <v>75</v>
      </c>
      <c r="G67" s="31"/>
      <c r="Q67" s="17">
        <v>20</v>
      </c>
    </row>
    <row r="68" spans="1:17" ht="21" customHeight="1">
      <c r="D68" s="63"/>
      <c r="E68" s="26" t="s">
        <v>76</v>
      </c>
      <c r="F68" s="43" t="s">
        <v>77</v>
      </c>
      <c r="G68" s="31"/>
      <c r="Q68" s="17">
        <v>20</v>
      </c>
    </row>
    <row r="69" spans="1:17" ht="21" customHeight="1">
      <c r="D69" s="63"/>
      <c r="E69" s="26" t="s">
        <v>78</v>
      </c>
      <c r="F69" s="43" t="s">
        <v>79</v>
      </c>
      <c r="G69" s="31"/>
      <c r="Q69" s="17">
        <v>20</v>
      </c>
    </row>
    <row r="70" spans="1:17" ht="21" customHeight="1">
      <c r="D70" s="20"/>
      <c r="E70" s="26" t="s">
        <v>80</v>
      </c>
      <c r="F70" s="958" t="s">
        <v>81</v>
      </c>
      <c r="G70" s="38"/>
      <c r="Q70" s="17">
        <v>20</v>
      </c>
    </row>
    <row r="71" spans="1:17" ht="21" customHeight="1">
      <c r="D71" s="38"/>
      <c r="G71" s="31"/>
      <c r="Q71" s="17">
        <v>20</v>
      </c>
    </row>
    <row r="72" spans="1:17" ht="21" customHeight="1">
      <c r="D72" s="63"/>
      <c r="E72" s="65"/>
      <c r="F72" s="66" t="s">
        <v>13</v>
      </c>
      <c r="G72" s="31"/>
      <c r="Q72" s="17">
        <v>20</v>
      </c>
    </row>
    <row r="73" spans="1:17" ht="21" customHeight="1">
      <c r="D73" s="63"/>
      <c r="E73" s="65"/>
      <c r="G73" s="31"/>
      <c r="Q73" s="17">
        <v>20</v>
      </c>
    </row>
    <row r="74" spans="1:17" ht="21" customHeight="1">
      <c r="D74" s="63"/>
      <c r="E74" s="67"/>
      <c r="G74" s="31"/>
      <c r="Q74" s="17">
        <v>20</v>
      </c>
    </row>
    <row r="75" spans="1:17" ht="21" customHeight="1">
      <c r="D75" s="63"/>
      <c r="E75" s="65"/>
      <c r="G75" s="31"/>
      <c r="Q75" s="17">
        <v>20</v>
      </c>
    </row>
    <row r="76" spans="1:17" ht="11.45" customHeight="1">
      <c r="Q76" s="17">
        <v>11</v>
      </c>
    </row>
    <row r="77" spans="1:17" ht="11.45" customHeight="1">
      <c r="Q77" s="17">
        <v>11</v>
      </c>
    </row>
    <row r="78" spans="1:17" ht="11.45" customHeight="1">
      <c r="Q78" s="17">
        <v>11</v>
      </c>
    </row>
    <row r="79" spans="1:17" ht="11.25" hidden="1" customHeight="1">
      <c r="A79" s="68" t="s">
        <v>82</v>
      </c>
      <c r="B79" s="69">
        <v>0</v>
      </c>
      <c r="C79" s="70">
        <v>3</v>
      </c>
      <c r="D79" s="17">
        <v>1</v>
      </c>
      <c r="E79" s="17">
        <v>55</v>
      </c>
      <c r="F79" s="17">
        <v>54</v>
      </c>
      <c r="G79" s="47">
        <v>1</v>
      </c>
      <c r="H79" s="17">
        <v>0</v>
      </c>
      <c r="I79" s="71">
        <v>59</v>
      </c>
      <c r="J79" s="37">
        <v>0</v>
      </c>
      <c r="K79" s="17">
        <v>8</v>
      </c>
      <c r="L79" s="17">
        <v>77</v>
      </c>
      <c r="M79" s="17">
        <v>8</v>
      </c>
      <c r="N79" s="17">
        <v>8</v>
      </c>
      <c r="O79" s="17">
        <v>8</v>
      </c>
      <c r="P79" s="17">
        <v>8</v>
      </c>
      <c r="Q79" s="17">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CA9E5714-12B4-6C12-7B4D-E6C8DBB3FD73}"/>
    <hyperlink ref="H17" location="Титульный!H9" tooltip="Помощь по работе с полями отчётной формы" display="Как заполнить?" xr:uid="{451F844B-41C7-F8C4-56C6-7679ECE17628}"/>
    <hyperlink ref="H39" location="Титульный!H9" tooltip="Помощь по работе с полями отчётной формы" display="Как заполнить?" xr:uid="{495E10EB-A88C-3E24-7861-75DE49A4D00A}"/>
    <hyperlink ref="H62" location="Титульный!H9" tooltip="Помощь по работе с полями отчётной формы" display="Как заполнить?" xr:uid="{3A10BA42-575B-2C1F-71EC-A4BC61EFE85A}"/>
    <hyperlink ref="F70" r:id="rId1" xr:uid="{53F0C393-7DC9-809C-2C2B-C6073D33C386}"/>
  </hyperlinks>
  <pageMargins left="0.74803149606299213" right="0.74803149606299213" top="0.98425196850393704" bottom="0.98425196850393704" header="0.51181102362204722" footer="0.51181102362204722"/>
  <pageSetup paperSize="9" scale="8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2F94-F9AD-A937-0884-22377A7F7567}">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E4" sqref="E4:I15"/>
    </sheetView>
  </sheetViews>
  <sheetFormatPr defaultColWidth="9.140625" defaultRowHeight="14.25" customHeight="1"/>
  <cols>
    <col min="1" max="1" width="8" hidden="1" customWidth="1"/>
    <col min="2" max="2" width="6" hidden="1" customWidth="1"/>
    <col min="3" max="4" width="3" customWidth="1"/>
    <col min="5" max="5" width="6" customWidth="1"/>
    <col min="6" max="6" width="2.7109375" hidden="1" customWidth="1"/>
    <col min="7" max="7" width="46.7109375" customWidth="1"/>
    <col min="8" max="8" width="42" customWidth="1"/>
    <col min="9" max="9" width="14" customWidth="1"/>
    <col min="10" max="10" width="3" customWidth="1"/>
    <col min="11" max="13" width="9.140625" hidden="1"/>
    <col min="14" max="14" width="25.7109375" hidden="1" customWidth="1"/>
    <col min="15" max="15" width="14.42578125" hidden="1" customWidth="1"/>
    <col min="16" max="27" width="9.140625" hidden="1"/>
    <col min="28" max="28" width="8" customWidth="1"/>
    <col min="29" max="29" width="9.140625" hidden="1"/>
  </cols>
  <sheetData>
    <row r="1" spans="1:29" ht="5.25" hidden="1" customHeight="1">
      <c r="G1" s="72" t="s">
        <v>83</v>
      </c>
      <c r="H1" s="73" t="s">
        <v>84</v>
      </c>
      <c r="I1" s="74" t="s">
        <v>85</v>
      </c>
      <c r="J1" s="72" t="s">
        <v>83</v>
      </c>
      <c r="AC1" s="75" t="s">
        <v>14</v>
      </c>
    </row>
    <row r="2" spans="1:29" ht="11.25" customHeight="1">
      <c r="AC2" s="76">
        <v>11</v>
      </c>
    </row>
    <row r="3" spans="1:29" ht="3" customHeight="1">
      <c r="AC3" s="77">
        <v>3</v>
      </c>
    </row>
    <row r="4" spans="1:29" ht="27.4" customHeight="1">
      <c r="E4" s="981" t="str">
        <f>NameTemplatesInListMO</f>
        <v>Перечень муниципальных районов и муниципальных образований (территорий действия тарифа)</v>
      </c>
      <c r="F4" s="981"/>
      <c r="G4" s="981"/>
      <c r="H4" s="981"/>
      <c r="I4" s="981"/>
      <c r="AC4" s="77">
        <v>26</v>
      </c>
    </row>
    <row r="5" spans="1:29" ht="3" customHeight="1">
      <c r="AC5" s="77">
        <v>3</v>
      </c>
    </row>
    <row r="6" spans="1:29" ht="20.25" hidden="1" customHeight="1">
      <c r="AC6" s="77">
        <v>0</v>
      </c>
    </row>
    <row r="7" spans="1:29" ht="25.5" hidden="1" customHeight="1">
      <c r="AC7" s="17">
        <v>0</v>
      </c>
    </row>
    <row r="8" spans="1:29" ht="14.65" customHeight="1">
      <c r="E8" s="977" t="s">
        <v>86</v>
      </c>
      <c r="F8" s="982"/>
      <c r="G8" s="976"/>
      <c r="H8" s="983" t="s">
        <v>87</v>
      </c>
      <c r="I8" s="983"/>
      <c r="AC8" s="77">
        <v>14</v>
      </c>
    </row>
    <row r="9" spans="1:29" ht="21" customHeight="1">
      <c r="E9" s="80" t="s">
        <v>88</v>
      </c>
      <c r="F9" s="80"/>
      <c r="G9" s="81" t="s">
        <v>89</v>
      </c>
      <c r="H9" s="81" t="s">
        <v>89</v>
      </c>
      <c r="I9" s="81" t="s">
        <v>85</v>
      </c>
      <c r="AC9" s="77">
        <v>20</v>
      </c>
    </row>
    <row r="10" spans="1:29" ht="11.45" customHeight="1">
      <c r="E10" s="82" t="s">
        <v>90</v>
      </c>
      <c r="F10" s="82"/>
      <c r="G10" s="82" t="s">
        <v>91</v>
      </c>
      <c r="H10" s="82" t="s">
        <v>92</v>
      </c>
      <c r="I10" s="82" t="s">
        <v>93</v>
      </c>
      <c r="AC10" s="17">
        <v>11</v>
      </c>
    </row>
    <row r="11" spans="1:29" ht="1.1499999999999999" customHeight="1">
      <c r="E11" s="83"/>
      <c r="F11" s="83"/>
      <c r="G11" s="84"/>
      <c r="H11" s="84"/>
      <c r="I11" s="85"/>
      <c r="J11" s="86" t="s">
        <v>94</v>
      </c>
      <c r="M11" s="87" t="s">
        <v>95</v>
      </c>
      <c r="N11" s="87" t="s">
        <v>96</v>
      </c>
      <c r="O11" s="87" t="s">
        <v>97</v>
      </c>
      <c r="AC11" s="77">
        <v>1</v>
      </c>
    </row>
    <row r="12" spans="1:29" ht="15" customHeight="1">
      <c r="A12" s="980">
        <v>1</v>
      </c>
      <c r="E12" s="88">
        <f>A12</f>
        <v>1</v>
      </c>
      <c r="F12" s="89" t="s">
        <v>98</v>
      </c>
      <c r="G12" s="90" t="str">
        <f>"Территория "&amp;E12</f>
        <v>Территория 1</v>
      </c>
      <c r="H12" s="91"/>
      <c r="I12" s="91"/>
      <c r="AC12" s="77">
        <v>14</v>
      </c>
    </row>
    <row r="13" spans="1:29" ht="15.75" customHeight="1">
      <c r="A13" s="964"/>
      <c r="B13" s="37">
        <v>1</v>
      </c>
      <c r="D13" s="92"/>
      <c r="E13" s="93" t="str">
        <f>A12&amp;"."&amp;B13</f>
        <v>1.1</v>
      </c>
      <c r="F13" s="94" t="s">
        <v>99</v>
      </c>
      <c r="G13" s="95" t="s">
        <v>100</v>
      </c>
      <c r="H13" s="95" t="s">
        <v>101</v>
      </c>
      <c r="I13" s="96" t="s">
        <v>102</v>
      </c>
      <c r="J13" s="87" t="e">
        <f ca="1">MERGEVALUE(G13)</f>
        <v>#NAME?</v>
      </c>
      <c r="M13" s="87" t="str">
        <f t="array" ref="M13">IF(ISERROR(MATCH(MID(N13,1,250),MID(note_ter,1,250),0)),"n","y")</f>
        <v>n</v>
      </c>
      <c r="O13" s="87" t="str">
        <f>H13&amp;"("&amp;I13&amp;")"</f>
        <v>поселение Московский(45952000)</v>
      </c>
      <c r="AC13" s="97">
        <v>15</v>
      </c>
    </row>
    <row r="14" spans="1:29" ht="15.75" customHeight="1">
      <c r="A14" s="964"/>
      <c r="E14" s="98"/>
      <c r="F14" s="99"/>
      <c r="G14" s="100" t="s">
        <v>103</v>
      </c>
      <c r="H14" s="101"/>
      <c r="I14" s="102"/>
      <c r="AC14" s="97">
        <v>15</v>
      </c>
    </row>
    <row r="15" spans="1:29" ht="14.65" customHeight="1">
      <c r="E15" s="103"/>
      <c r="F15" s="104"/>
      <c r="G15" s="105" t="s">
        <v>104</v>
      </c>
      <c r="H15" s="104"/>
      <c r="I15" s="106"/>
      <c r="J15" s="86"/>
      <c r="N15" s="87" t="s">
        <v>105</v>
      </c>
      <c r="AC15" s="77">
        <v>14</v>
      </c>
    </row>
    <row r="16" spans="1:29" ht="21.95" customHeight="1">
      <c r="E16" s="107"/>
      <c r="F16" s="107"/>
      <c r="G16" s="107"/>
      <c r="H16" s="107"/>
      <c r="I16" s="107"/>
      <c r="AC16" s="77">
        <v>21</v>
      </c>
    </row>
    <row r="17" spans="1:29" ht="14.65" customHeight="1">
      <c r="AC17" s="77">
        <v>14</v>
      </c>
    </row>
    <row r="18" spans="1:29" ht="1.1499999999999999" customHeight="1">
      <c r="AC18" s="77">
        <v>1</v>
      </c>
    </row>
    <row r="19" spans="1:29" ht="10.5" customHeight="1">
      <c r="AC19" s="108">
        <v>10</v>
      </c>
    </row>
    <row r="20" spans="1:29" ht="10.5" customHeight="1">
      <c r="AC20" s="108">
        <v>10</v>
      </c>
    </row>
    <row r="21" spans="1:29" ht="14.65" customHeight="1">
      <c r="AC21" s="17">
        <v>14</v>
      </c>
    </row>
    <row r="22" spans="1:29" ht="14.65" customHeight="1">
      <c r="AC22" s="17">
        <v>14</v>
      </c>
    </row>
    <row r="23" spans="1:29" ht="14.65" customHeight="1">
      <c r="AC23" s="17">
        <v>14</v>
      </c>
    </row>
    <row r="24" spans="1:29" ht="14.65" customHeight="1">
      <c r="AC24" s="17">
        <v>14</v>
      </c>
    </row>
    <row r="25" spans="1:29" ht="14.65" customHeight="1">
      <c r="AC25" s="17">
        <v>14</v>
      </c>
    </row>
    <row r="26" spans="1:29" ht="14.65" customHeight="1">
      <c r="AC26" s="17">
        <v>14</v>
      </c>
    </row>
    <row r="27" spans="1:29" ht="14.65" customHeight="1">
      <c r="AC27" s="17">
        <v>14</v>
      </c>
    </row>
    <row r="28" spans="1:29" ht="14.65" customHeight="1">
      <c r="AC28" s="17">
        <v>14</v>
      </c>
    </row>
    <row r="29" spans="1:29" ht="22.5" hidden="1" customHeight="1">
      <c r="A29" s="17" t="s">
        <v>82</v>
      </c>
      <c r="B29" s="37">
        <v>0</v>
      </c>
      <c r="C29" s="17">
        <v>3</v>
      </c>
      <c r="D29" s="109">
        <v>3</v>
      </c>
      <c r="E29" s="17">
        <v>6</v>
      </c>
      <c r="F29" s="17">
        <v>0</v>
      </c>
      <c r="G29" s="17">
        <v>46</v>
      </c>
      <c r="H29" s="17">
        <v>42</v>
      </c>
      <c r="I29" s="17">
        <v>14</v>
      </c>
      <c r="J29" s="87">
        <v>3</v>
      </c>
      <c r="K29" s="87">
        <v>0</v>
      </c>
      <c r="L29" s="87">
        <v>0</v>
      </c>
      <c r="M29" s="87">
        <v>0</v>
      </c>
      <c r="N29" s="87">
        <v>0</v>
      </c>
      <c r="O29" s="87">
        <v>0</v>
      </c>
      <c r="P29" s="110">
        <v>0</v>
      </c>
      <c r="Q29" s="110">
        <v>0</v>
      </c>
      <c r="R29" s="110">
        <v>0</v>
      </c>
      <c r="S29" s="110">
        <v>0</v>
      </c>
      <c r="T29" s="17">
        <v>0</v>
      </c>
      <c r="U29" s="17">
        <v>0</v>
      </c>
      <c r="V29" s="17">
        <v>0</v>
      </c>
      <c r="W29" s="17">
        <v>0</v>
      </c>
      <c r="X29" s="17">
        <v>0</v>
      </c>
      <c r="Y29" s="17">
        <v>0</v>
      </c>
      <c r="Z29" s="17">
        <v>0</v>
      </c>
      <c r="AA29" s="17">
        <v>0</v>
      </c>
      <c r="AB29" s="17">
        <v>8</v>
      </c>
      <c r="AC29" s="17">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8740157480314965"/>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E6D5-0EC2-5B01-AC49-954B17D75EBD}">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D4" sqref="A4:M16"/>
    </sheetView>
  </sheetViews>
  <sheetFormatPr defaultColWidth="9.140625" defaultRowHeight="11.25" customHeight="1"/>
  <cols>
    <col min="1" max="1" width="6.42578125" hidden="1" customWidth="1"/>
    <col min="2" max="2" width="2" hidden="1" customWidth="1"/>
    <col min="3" max="3" width="3" customWidth="1"/>
    <col min="4" max="4" width="4" customWidth="1"/>
    <col min="5" max="5" width="44" customWidth="1"/>
    <col min="6" max="6" width="6.42578125" customWidth="1"/>
    <col min="7" max="7" width="4" customWidth="1"/>
    <col min="8" max="8" width="5" customWidth="1"/>
    <col min="9" max="9" width="52" customWidth="1"/>
    <col min="10" max="10" width="7" customWidth="1"/>
    <col min="11" max="11" width="3" customWidth="1"/>
    <col min="12" max="12" width="6" customWidth="1"/>
    <col min="13" max="13" width="56" customWidth="1"/>
    <col min="14" max="14" width="8" customWidth="1"/>
    <col min="15" max="37" width="9.140625" hidden="1"/>
    <col min="38" max="38" width="8" customWidth="1"/>
    <col min="39" max="39" width="9.140625" hidden="1"/>
  </cols>
  <sheetData>
    <row r="1" spans="1:39" ht="11.25" hidden="1" customHeight="1">
      <c r="AM1" s="111" t="s">
        <v>14</v>
      </c>
    </row>
    <row r="2" spans="1:39" ht="11.25" hidden="1" customHeight="1">
      <c r="AM2" s="111">
        <v>0</v>
      </c>
    </row>
    <row r="3" spans="1:39" ht="11.45" customHeight="1">
      <c r="AM3" s="111">
        <v>11</v>
      </c>
    </row>
    <row r="4" spans="1:39" ht="35.65" customHeight="1">
      <c r="D4" s="98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989"/>
      <c r="F4" s="989"/>
      <c r="G4" s="989"/>
      <c r="H4" s="989"/>
      <c r="I4" s="990"/>
      <c r="AM4" s="111">
        <v>34</v>
      </c>
    </row>
    <row r="5" spans="1:39" ht="14.65" customHeight="1">
      <c r="D5" s="991" t="str">
        <f>IF(org=0,"Не определено",org)</f>
        <v>ООО "ТВС"</v>
      </c>
      <c r="E5" s="992"/>
      <c r="F5" s="992"/>
      <c r="G5" s="992"/>
      <c r="H5" s="992"/>
      <c r="I5" s="993"/>
      <c r="AM5" s="113">
        <v>14</v>
      </c>
    </row>
    <row r="6" spans="1:39" ht="6.4" customHeight="1">
      <c r="A6" s="964"/>
      <c r="B6" s="964"/>
      <c r="C6" s="964"/>
      <c r="D6" s="964"/>
      <c r="E6" s="964"/>
      <c r="F6" s="964"/>
      <c r="AM6" s="113">
        <v>6</v>
      </c>
    </row>
    <row r="7" spans="1:39" ht="45.75" hidden="1" customHeight="1">
      <c r="E7" s="9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964"/>
      <c r="G7" s="964"/>
      <c r="H7" s="964"/>
      <c r="I7" s="964"/>
      <c r="J7" s="964"/>
      <c r="K7" s="964"/>
      <c r="L7" s="964"/>
      <c r="M7" s="964"/>
      <c r="AM7" s="111">
        <v>0</v>
      </c>
    </row>
    <row r="8" spans="1:39" ht="6.4" customHeight="1">
      <c r="AM8" s="113">
        <v>6</v>
      </c>
    </row>
    <row r="9" spans="1:39" ht="18.75" customHeight="1">
      <c r="A9" s="994"/>
      <c r="D9" s="995" t="s">
        <v>106</v>
      </c>
      <c r="E9" s="995"/>
      <c r="F9" s="996" t="s">
        <v>107</v>
      </c>
      <c r="G9" s="997"/>
      <c r="H9" s="997"/>
      <c r="I9" s="997"/>
      <c r="J9" s="999" t="s">
        <v>108</v>
      </c>
      <c r="K9" s="999"/>
      <c r="L9" s="999"/>
      <c r="M9" s="999"/>
      <c r="AM9" s="111">
        <v>18</v>
      </c>
    </row>
    <row r="10" spans="1:39" ht="24" customHeight="1">
      <c r="A10" s="994"/>
      <c r="D10" s="88" t="s">
        <v>88</v>
      </c>
      <c r="E10" s="88" t="s">
        <v>89</v>
      </c>
      <c r="F10" s="88" t="s">
        <v>109</v>
      </c>
      <c r="G10" s="1000" t="s">
        <v>88</v>
      </c>
      <c r="H10" s="1001"/>
      <c r="I10" s="88" t="s">
        <v>89</v>
      </c>
      <c r="J10" s="88" t="s">
        <v>109</v>
      </c>
      <c r="K10" s="1000" t="s">
        <v>88</v>
      </c>
      <c r="L10" s="1001"/>
      <c r="M10" s="88" t="s">
        <v>89</v>
      </c>
      <c r="N10" s="114"/>
      <c r="AM10" s="111">
        <v>23</v>
      </c>
    </row>
    <row r="11" spans="1:39" ht="11.25" hidden="1" customHeight="1">
      <c r="D11" s="115" t="s">
        <v>110</v>
      </c>
      <c r="E11" s="115" t="s">
        <v>111</v>
      </c>
      <c r="F11" s="115" t="s">
        <v>90</v>
      </c>
      <c r="G11" s="984" t="s">
        <v>91</v>
      </c>
      <c r="H11" s="985"/>
      <c r="I11" s="115" t="s">
        <v>112</v>
      </c>
      <c r="J11" s="115" t="s">
        <v>92</v>
      </c>
      <c r="K11" s="986" t="s">
        <v>93</v>
      </c>
      <c r="L11" s="987"/>
      <c r="M11" s="115" t="s">
        <v>113</v>
      </c>
      <c r="N11" s="114"/>
      <c r="AM11" s="111">
        <v>0</v>
      </c>
    </row>
    <row r="12" spans="1:39" ht="1.1499999999999999" customHeight="1">
      <c r="D12" s="116"/>
      <c r="E12" s="117"/>
      <c r="F12" s="117"/>
      <c r="G12" s="118"/>
      <c r="H12" s="118"/>
      <c r="I12" s="117"/>
      <c r="J12" s="117"/>
      <c r="K12" s="119"/>
      <c r="L12" s="117"/>
      <c r="M12" s="120"/>
      <c r="N12" s="114"/>
      <c r="O12" s="87" t="s">
        <v>114</v>
      </c>
      <c r="P12" s="87" t="s">
        <v>115</v>
      </c>
      <c r="Q12" s="87" t="s">
        <v>116</v>
      </c>
      <c r="R12" s="87" t="s">
        <v>117</v>
      </c>
      <c r="AM12" s="111">
        <v>1</v>
      </c>
    </row>
    <row r="13" spans="1:39" ht="33.4" customHeight="1">
      <c r="D13" s="1005" t="s">
        <v>110</v>
      </c>
      <c r="E13" s="1006" t="str">
        <f>INDEX(VD_NAME_LIST,MATCH("4190072",VD_ID_LIST,0))</f>
        <v>Подключение (технологическое присоединение) к системе теплоснабжения</v>
      </c>
      <c r="F13" s="1009" t="s">
        <v>66</v>
      </c>
      <c r="G13" s="1010"/>
      <c r="H13" s="1011">
        <v>1</v>
      </c>
      <c r="I13" s="1002" t="str">
        <f>IF(U13="","",INDEX(TERRITORY_MR_LIST,MATCH(U13,TERRITORY_LIST_ID,0)))</f>
        <v>Территория 1</v>
      </c>
      <c r="J13" s="1004" t="s">
        <v>66</v>
      </c>
      <c r="K13" s="123"/>
      <c r="L13" s="121" t="s">
        <v>110</v>
      </c>
      <c r="M13" s="124" t="s">
        <v>118</v>
      </c>
      <c r="N13" s="114"/>
      <c r="O13" s="87" t="s">
        <v>119</v>
      </c>
      <c r="P13" s="87" t="str">
        <f>$E$13</f>
        <v>Подключение (технологическое присоединение) к системе теплоснабжения</v>
      </c>
      <c r="Q13" s="87" t="str">
        <f>IF($F$13="нет","без дифференциации",$I$13)</f>
        <v>Территория 1</v>
      </c>
      <c r="R13" s="87" t="str">
        <f>IF($J$13="нет","без дифференциации",M13)</f>
        <v>в зоне поставки котельной, расположенной по адресу: г. Москва, поселение Московский, Передельцевский проезд, стр.2</v>
      </c>
      <c r="U13" s="125" t="s">
        <v>98</v>
      </c>
      <c r="V13" s="125" t="s">
        <v>120</v>
      </c>
      <c r="Y13" s="126" t="s">
        <v>121</v>
      </c>
      <c r="Z13" s="126">
        <v>1705000</v>
      </c>
      <c r="AM13" s="111">
        <v>15</v>
      </c>
    </row>
    <row r="14" spans="1:39" ht="15.75" customHeight="1">
      <c r="D14" s="1005"/>
      <c r="E14" s="1007"/>
      <c r="F14" s="1004"/>
      <c r="G14" s="1010"/>
      <c r="H14" s="1011"/>
      <c r="I14" s="1003"/>
      <c r="J14" s="1004"/>
      <c r="K14" s="98"/>
      <c r="L14" s="99"/>
      <c r="M14" s="127" t="s">
        <v>122</v>
      </c>
      <c r="N14" s="114"/>
      <c r="AM14" s="111">
        <v>15</v>
      </c>
    </row>
    <row r="15" spans="1:39" ht="15.75" customHeight="1">
      <c r="D15" s="1005"/>
      <c r="E15" s="1008"/>
      <c r="F15" s="1004"/>
      <c r="G15" s="128"/>
      <c r="H15" s="129"/>
      <c r="I15" s="100" t="s">
        <v>123</v>
      </c>
      <c r="J15" s="99"/>
      <c r="K15" s="99"/>
      <c r="L15" s="99"/>
      <c r="M15" s="130"/>
      <c r="N15" s="114"/>
      <c r="AM15" s="111">
        <v>15</v>
      </c>
    </row>
    <row r="16" spans="1:39" ht="15.75" customHeight="1">
      <c r="A16" s="131"/>
      <c r="D16" s="98"/>
      <c r="E16" s="132" t="s">
        <v>124</v>
      </c>
      <c r="F16" s="99"/>
      <c r="G16" s="99"/>
      <c r="H16" s="99"/>
      <c r="I16" s="99"/>
      <c r="J16" s="99"/>
      <c r="K16" s="99" t="s">
        <v>22</v>
      </c>
      <c r="L16" s="99"/>
      <c r="M16" s="130"/>
      <c r="N16" s="114"/>
      <c r="AM16" s="111">
        <v>15</v>
      </c>
    </row>
    <row r="17" spans="1:39" ht="11.25" hidden="1" customHeight="1">
      <c r="A17" s="111" t="s">
        <v>82</v>
      </c>
      <c r="B17" s="111">
        <v>0</v>
      </c>
      <c r="C17" s="111">
        <v>3</v>
      </c>
      <c r="D17" s="111">
        <v>4</v>
      </c>
      <c r="E17" s="111">
        <v>44</v>
      </c>
      <c r="F17" s="111">
        <v>6</v>
      </c>
      <c r="G17" s="111">
        <v>4</v>
      </c>
      <c r="H17" s="111">
        <v>5</v>
      </c>
      <c r="I17" s="111">
        <v>52</v>
      </c>
      <c r="J17" s="111">
        <v>6</v>
      </c>
      <c r="K17" s="111">
        <v>3</v>
      </c>
      <c r="L17" s="111">
        <v>6</v>
      </c>
      <c r="M17" s="111">
        <v>56</v>
      </c>
      <c r="N17" s="126">
        <v>8</v>
      </c>
      <c r="O17" s="87">
        <v>0</v>
      </c>
      <c r="P17" s="87">
        <v>0</v>
      </c>
      <c r="Q17" s="87">
        <v>0</v>
      </c>
      <c r="R17" s="87">
        <v>0</v>
      </c>
      <c r="S17" s="87">
        <v>0</v>
      </c>
      <c r="T17" s="87">
        <v>0</v>
      </c>
      <c r="U17" s="125">
        <v>0</v>
      </c>
      <c r="V17" s="125">
        <v>0</v>
      </c>
      <c r="W17" s="125">
        <v>0</v>
      </c>
      <c r="X17" s="125">
        <v>0</v>
      </c>
      <c r="Y17" s="126">
        <v>0</v>
      </c>
      <c r="Z17" s="126">
        <v>0</v>
      </c>
      <c r="AA17" s="126">
        <v>0</v>
      </c>
      <c r="AB17" s="126">
        <v>0</v>
      </c>
      <c r="AC17" s="126">
        <v>0</v>
      </c>
      <c r="AD17" s="126">
        <v>0</v>
      </c>
      <c r="AE17" s="126">
        <v>0</v>
      </c>
      <c r="AF17" s="126">
        <v>0</v>
      </c>
      <c r="AG17" s="126">
        <v>0</v>
      </c>
      <c r="AH17" s="126">
        <v>0</v>
      </c>
      <c r="AI17" s="126">
        <v>0</v>
      </c>
      <c r="AJ17" s="126">
        <v>0</v>
      </c>
      <c r="AK17" s="126">
        <v>0</v>
      </c>
      <c r="AL17" s="126">
        <v>8</v>
      </c>
      <c r="AM17" s="11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2A27-44CD-A306-3151-D4B0000CAB51}">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hidden="1" customWidth="1"/>
    <col min="3" max="3" width="3" customWidth="1"/>
    <col min="4" max="4" width="6" customWidth="1"/>
    <col min="5" max="5" width="42" customWidth="1"/>
    <col min="6" max="6" width="15" customWidth="1"/>
    <col min="7" max="7" width="42" customWidth="1"/>
    <col min="8" max="8" width="3" customWidth="1"/>
    <col min="9" max="9" width="5" customWidth="1"/>
    <col min="10" max="10" width="47" customWidth="1"/>
    <col min="11" max="12" width="3" customWidth="1"/>
    <col min="13" max="13" width="5" customWidth="1"/>
    <col min="14" max="14" width="28" customWidth="1"/>
    <col min="15" max="16" width="3" customWidth="1"/>
    <col min="17" max="17" width="5" customWidth="1"/>
    <col min="18" max="18" width="34" customWidth="1"/>
    <col min="19" max="20" width="3.7109375" customWidth="1"/>
    <col min="21" max="21" width="5.7109375" customWidth="1"/>
    <col min="22" max="22" width="34.42578125" customWidth="1"/>
    <col min="23" max="23" width="30" customWidth="1"/>
    <col min="24" max="24" width="3" customWidth="1"/>
    <col min="25" max="28" width="9.85546875" hidden="1" customWidth="1"/>
    <col min="29" max="29" width="27" hidden="1" customWidth="1"/>
    <col min="30" max="30" width="10.5703125" hidden="1" customWidth="1"/>
    <col min="31" max="31" width="10.7109375" hidden="1" customWidth="1"/>
    <col min="32" max="32" width="10" hidden="1" customWidth="1"/>
    <col min="33" max="33" width="12.85546875" hidden="1" customWidth="1"/>
    <col min="34" max="34" width="24.42578125" hidden="1" customWidth="1"/>
    <col min="35" max="35" width="15.85546875" hidden="1" customWidth="1"/>
    <col min="36" max="36" width="19.42578125" hidden="1" customWidth="1"/>
    <col min="37" max="37" width="11" hidden="1" customWidth="1"/>
    <col min="38" max="38" width="23.5703125" hidden="1" customWidth="1"/>
    <col min="39" max="39" width="23.85546875" hidden="1" customWidth="1"/>
    <col min="40" max="40" width="25.28515625" hidden="1" customWidth="1"/>
    <col min="41" max="41" width="16.85546875" hidden="1" customWidth="1"/>
    <col min="42" max="42" width="29.5703125" hidden="1" customWidth="1"/>
    <col min="43" max="43" width="29.85546875" hidden="1" customWidth="1"/>
    <col min="44" max="44" width="9.140625" hidden="1"/>
  </cols>
  <sheetData>
    <row r="1" spans="4:44" ht="11.25" hidden="1" customHeight="1">
      <c r="AR1" s="111" t="s">
        <v>14</v>
      </c>
    </row>
    <row r="2" spans="4:44" ht="11.25" hidden="1" customHeight="1">
      <c r="AR2" s="111">
        <v>0</v>
      </c>
    </row>
    <row r="3" spans="4:44" ht="11.25" hidden="1" customHeight="1">
      <c r="AR3" s="111">
        <v>0</v>
      </c>
    </row>
    <row r="4" spans="4:44" ht="3" customHeight="1">
      <c r="AR4" s="111">
        <v>3</v>
      </c>
    </row>
    <row r="5" spans="4:44" ht="30.4" customHeight="1">
      <c r="D5" s="10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038"/>
      <c r="F5" s="1038"/>
      <c r="G5" s="1038"/>
      <c r="H5" s="1038"/>
      <c r="I5" s="1038"/>
      <c r="J5" s="1039"/>
      <c r="AR5" s="113">
        <v>29</v>
      </c>
    </row>
    <row r="6" spans="4:44" ht="14.65" customHeight="1">
      <c r="D6" s="1043" t="str">
        <f>IF(org=0,"Не определено",org)</f>
        <v>ООО "ТВС"</v>
      </c>
      <c r="E6" s="1043"/>
      <c r="F6" s="1043"/>
      <c r="G6" s="1043"/>
      <c r="H6" s="1043"/>
      <c r="I6" s="1043"/>
      <c r="J6" s="1043"/>
      <c r="AR6" s="113">
        <v>14</v>
      </c>
    </row>
    <row r="7" spans="4:44" ht="11.45" customHeight="1">
      <c r="D7" s="1040"/>
      <c r="E7" s="1041"/>
      <c r="F7" s="1041"/>
      <c r="G7" s="1041"/>
      <c r="H7" s="1041"/>
      <c r="I7" s="1041"/>
      <c r="J7" s="1042"/>
      <c r="AR7" s="133">
        <v>11</v>
      </c>
    </row>
    <row r="8" spans="4:44" ht="1.1499999999999999" customHeight="1">
      <c r="AR8" s="113">
        <v>1</v>
      </c>
    </row>
    <row r="9" spans="4:44" ht="28.5" customHeight="1">
      <c r="D9" s="995" t="s">
        <v>88</v>
      </c>
      <c r="E9" s="977" t="s">
        <v>125</v>
      </c>
      <c r="F9" s="976"/>
      <c r="G9" s="995" t="s">
        <v>106</v>
      </c>
      <c r="H9" s="995" t="s">
        <v>88</v>
      </c>
      <c r="I9" s="995"/>
      <c r="J9" s="995" t="s">
        <v>126</v>
      </c>
      <c r="K9" s="1044" t="s">
        <v>127</v>
      </c>
      <c r="L9" s="1044"/>
      <c r="M9" s="1044"/>
      <c r="N9" s="1044"/>
      <c r="O9" s="1044" t="s">
        <v>128</v>
      </c>
      <c r="P9" s="1044"/>
      <c r="Q9" s="1044"/>
      <c r="R9" s="1044"/>
      <c r="S9" s="1044" t="s">
        <v>129</v>
      </c>
      <c r="T9" s="1044"/>
      <c r="U9" s="1044"/>
      <c r="V9" s="1044"/>
      <c r="W9" s="995" t="s">
        <v>130</v>
      </c>
      <c r="AR9" s="111">
        <v>27</v>
      </c>
    </row>
    <row r="10" spans="4:44" ht="31.5" customHeight="1">
      <c r="D10" s="995"/>
      <c r="E10" s="88" t="s">
        <v>89</v>
      </c>
      <c r="F10" s="88" t="s">
        <v>131</v>
      </c>
      <c r="G10" s="995"/>
      <c r="H10" s="995"/>
      <c r="I10" s="995"/>
      <c r="J10" s="995"/>
      <c r="K10" s="88" t="s">
        <v>109</v>
      </c>
      <c r="L10" s="995" t="s">
        <v>88</v>
      </c>
      <c r="M10" s="995"/>
      <c r="N10" s="88" t="s">
        <v>132</v>
      </c>
      <c r="O10" s="88" t="s">
        <v>109</v>
      </c>
      <c r="P10" s="995" t="s">
        <v>88</v>
      </c>
      <c r="Q10" s="995"/>
      <c r="R10" s="88" t="s">
        <v>132</v>
      </c>
      <c r="S10" s="88" t="s">
        <v>109</v>
      </c>
      <c r="T10" s="995" t="s">
        <v>88</v>
      </c>
      <c r="U10" s="995"/>
      <c r="V10" s="88" t="s">
        <v>89</v>
      </c>
      <c r="W10" s="995"/>
      <c r="Z10" s="125" t="s">
        <v>133</v>
      </c>
      <c r="AA10" s="125" t="s">
        <v>134</v>
      </c>
      <c r="AB10" s="125" t="s">
        <v>135</v>
      </c>
      <c r="AC10" s="125" t="s">
        <v>136</v>
      </c>
      <c r="AD10" s="125" t="s">
        <v>137</v>
      </c>
      <c r="AE10" s="125" t="s">
        <v>138</v>
      </c>
      <c r="AF10" s="125" t="s">
        <v>139</v>
      </c>
      <c r="AG10" s="125" t="s">
        <v>140</v>
      </c>
      <c r="AH10" s="125" t="s">
        <v>141</v>
      </c>
      <c r="AI10" s="125" t="s">
        <v>142</v>
      </c>
      <c r="AJ10" s="125" t="s">
        <v>143</v>
      </c>
      <c r="AK10" s="125" t="s">
        <v>144</v>
      </c>
      <c r="AL10" s="125" t="s">
        <v>145</v>
      </c>
      <c r="AM10" s="125" t="s">
        <v>146</v>
      </c>
      <c r="AN10" s="125" t="s">
        <v>147</v>
      </c>
      <c r="AO10" s="125" t="s">
        <v>148</v>
      </c>
      <c r="AP10" s="125" t="s">
        <v>149</v>
      </c>
      <c r="AQ10" s="125" t="s">
        <v>150</v>
      </c>
      <c r="AR10" s="111">
        <v>30</v>
      </c>
    </row>
    <row r="11" spans="4:44" ht="12" hidden="1" customHeight="1">
      <c r="D11" s="135" t="s">
        <v>110</v>
      </c>
      <c r="E11" s="135" t="s">
        <v>111</v>
      </c>
      <c r="F11" s="135"/>
      <c r="G11" s="135" t="s">
        <v>90</v>
      </c>
      <c r="H11" s="1036" t="s">
        <v>112</v>
      </c>
      <c r="I11" s="1036"/>
      <c r="J11" s="135" t="s">
        <v>92</v>
      </c>
      <c r="K11" s="135" t="s">
        <v>93</v>
      </c>
      <c r="L11" s="1036" t="s">
        <v>113</v>
      </c>
      <c r="M11" s="1036"/>
      <c r="N11" s="135" t="s">
        <v>151</v>
      </c>
      <c r="O11" s="135" t="s">
        <v>152</v>
      </c>
      <c r="P11" s="1036" t="s">
        <v>153</v>
      </c>
      <c r="Q11" s="1036"/>
      <c r="R11" s="135" t="s">
        <v>154</v>
      </c>
      <c r="S11" s="135" t="s">
        <v>153</v>
      </c>
      <c r="T11" s="1036" t="s">
        <v>154</v>
      </c>
      <c r="U11" s="1036"/>
      <c r="V11" s="135" t="s">
        <v>155</v>
      </c>
      <c r="W11" s="135" t="s">
        <v>156</v>
      </c>
      <c r="AR11" s="87">
        <v>0</v>
      </c>
    </row>
    <row r="12" spans="4:44" ht="14.25" hidden="1" customHeight="1">
      <c r="D12" s="136">
        <v>0</v>
      </c>
      <c r="E12" s="88"/>
      <c r="F12" s="88"/>
      <c r="G12" s="88"/>
      <c r="H12" s="137"/>
      <c r="I12" s="137"/>
      <c r="J12" s="121"/>
      <c r="K12" s="121"/>
      <c r="L12" s="121"/>
      <c r="M12" s="121"/>
      <c r="N12" s="138"/>
      <c r="O12" s="121"/>
      <c r="P12" s="121"/>
      <c r="Q12" s="121"/>
      <c r="R12" s="139"/>
      <c r="S12" s="121"/>
      <c r="T12" s="121"/>
      <c r="U12" s="121"/>
      <c r="V12" s="139"/>
      <c r="W12" s="121"/>
      <c r="AR12" s="111">
        <v>0</v>
      </c>
    </row>
    <row r="13" spans="4:44" ht="17.25" hidden="1" customHeight="1">
      <c r="D13" s="1021">
        <v>1</v>
      </c>
      <c r="E13" s="1014" t="s">
        <v>157</v>
      </c>
      <c r="F13" s="1023" t="s">
        <v>19</v>
      </c>
      <c r="G13" s="1014"/>
      <c r="H13" s="1016"/>
      <c r="I13" s="1018"/>
      <c r="J13" s="1019"/>
      <c r="K13" s="1013"/>
      <c r="L13" s="1013"/>
      <c r="M13" s="1013"/>
      <c r="N13" s="1020"/>
      <c r="O13" s="1013"/>
      <c r="P13" s="1013"/>
      <c r="Q13" s="1013"/>
      <c r="R13" s="1012"/>
      <c r="S13" s="1013"/>
      <c r="T13" s="142"/>
      <c r="U13" s="142"/>
      <c r="V13" s="143"/>
      <c r="W13" s="144"/>
      <c r="AC13" s="145" t="s">
        <v>158</v>
      </c>
      <c r="AD13" s="145" t="s">
        <v>159</v>
      </c>
      <c r="AE13" s="145" t="s">
        <v>160</v>
      </c>
      <c r="AF13" s="145" t="s">
        <v>161</v>
      </c>
      <c r="AG13" s="145" t="s">
        <v>162</v>
      </c>
      <c r="AH13" s="1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 t="str">
        <f>IF($G$13=0,"",$G$13)</f>
        <v/>
      </c>
      <c r="AJ13" s="145" t="str">
        <f>IF($J$13=0,"",$J$13)</f>
        <v/>
      </c>
      <c r="AK13" s="145" t="str">
        <f>IF($K$13="нет","без дифференциации",IF($N$13=0,"",$N$13))</f>
        <v/>
      </c>
      <c r="AL13" s="145" t="str">
        <f>IF($O$13="нет","без дифференциации",IF($R$13=0,"",$R$13))</f>
        <v/>
      </c>
      <c r="AM13" s="145" t="str">
        <f>IF($S$13="нет","без дифференциации",IF($V$13=0,"",$V$13))</f>
        <v/>
      </c>
      <c r="AN13" s="145">
        <f>$I$13</f>
        <v>0</v>
      </c>
      <c r="AO13" s="145" t="str">
        <f>$I$13&amp;"."&amp;$M$13</f>
        <v>.</v>
      </c>
      <c r="AP13" s="145" t="str">
        <f>$I$13&amp;"."&amp;$M$13&amp;"."&amp;$Q$13</f>
        <v>..</v>
      </c>
      <c r="AQ13" s="145" t="str">
        <f>$I$13&amp;"."&amp;$M$13&amp;"."&amp;$Q$13&amp;"."&amp;$U$13</f>
        <v>...</v>
      </c>
      <c r="AR13" s="111">
        <v>0</v>
      </c>
    </row>
    <row r="14" spans="4:44" ht="17.25" hidden="1" customHeight="1">
      <c r="D14" s="1021"/>
      <c r="E14" s="1014"/>
      <c r="F14" s="1024"/>
      <c r="G14" s="1014"/>
      <c r="H14" s="1017"/>
      <c r="I14" s="964"/>
      <c r="J14" s="964"/>
      <c r="K14" s="964"/>
      <c r="L14" s="964"/>
      <c r="M14" s="964"/>
      <c r="N14" s="964"/>
      <c r="O14" s="964"/>
      <c r="P14" s="964"/>
      <c r="Q14" s="964"/>
      <c r="R14" s="964"/>
      <c r="S14" s="964"/>
      <c r="W14" s="147"/>
      <c r="AR14" s="111">
        <v>0</v>
      </c>
    </row>
    <row r="15" spans="4:44" ht="17.25" hidden="1" customHeight="1">
      <c r="D15" s="1021"/>
      <c r="E15" s="1014"/>
      <c r="F15" s="1024"/>
      <c r="G15" s="1014"/>
      <c r="H15" s="1017"/>
      <c r="I15" s="964"/>
      <c r="J15" s="964"/>
      <c r="K15" s="964"/>
      <c r="L15" s="964"/>
      <c r="M15" s="964"/>
      <c r="N15" s="964"/>
      <c r="O15" s="964"/>
      <c r="W15" s="147"/>
      <c r="AR15" s="111">
        <v>0</v>
      </c>
    </row>
    <row r="16" spans="4:44" ht="17.25" hidden="1" customHeight="1">
      <c r="D16" s="1021"/>
      <c r="E16" s="1014"/>
      <c r="F16" s="1024"/>
      <c r="G16" s="1014"/>
      <c r="H16" s="1017"/>
      <c r="I16" s="964"/>
      <c r="J16" s="964"/>
      <c r="K16" s="964"/>
      <c r="W16" s="147"/>
      <c r="AR16" s="111">
        <v>0</v>
      </c>
    </row>
    <row r="17" spans="4:44" ht="17.25" hidden="1" customHeight="1">
      <c r="D17" s="1022"/>
      <c r="E17" s="1015"/>
      <c r="F17" s="1025"/>
      <c r="G17" s="1015"/>
      <c r="H17" s="149"/>
      <c r="I17" s="150"/>
      <c r="J17" s="150"/>
      <c r="K17" s="150"/>
      <c r="L17" s="150"/>
      <c r="M17" s="150"/>
      <c r="N17" s="150"/>
      <c r="O17" s="150"/>
      <c r="P17" s="150"/>
      <c r="Q17" s="150"/>
      <c r="R17" s="150"/>
      <c r="S17" s="151"/>
      <c r="T17" s="151"/>
      <c r="U17" s="151"/>
      <c r="V17" s="151"/>
      <c r="W17" s="152"/>
      <c r="AR17" s="111">
        <v>0</v>
      </c>
    </row>
    <row r="18" spans="4:44" ht="17.25" hidden="1" customHeight="1">
      <c r="D18" s="1021">
        <v>2</v>
      </c>
      <c r="E18" s="1034"/>
      <c r="F18" s="1023" t="s">
        <v>19</v>
      </c>
      <c r="G18" s="1014"/>
      <c r="H18" s="1016"/>
      <c r="I18" s="1018"/>
      <c r="J18" s="1019"/>
      <c r="K18" s="1013"/>
      <c r="L18" s="1013"/>
      <c r="M18" s="1013"/>
      <c r="N18" s="1020"/>
      <c r="O18" s="1013"/>
      <c r="P18" s="1013"/>
      <c r="Q18" s="1013"/>
      <c r="R18" s="1012"/>
      <c r="S18" s="1013"/>
      <c r="T18" s="142"/>
      <c r="U18" s="142"/>
      <c r="V18" s="143"/>
      <c r="W18" s="144"/>
      <c r="AC18" s="145" t="s">
        <v>163</v>
      </c>
      <c r="AD18" s="145" t="s">
        <v>164</v>
      </c>
      <c r="AE18" s="145" t="s">
        <v>165</v>
      </c>
      <c r="AF18" s="145" t="s">
        <v>166</v>
      </c>
      <c r="AG18" s="145" t="s">
        <v>167</v>
      </c>
      <c r="AH18" s="145" t="str">
        <f>IF($E$18=0,"",$E$18)</f>
        <v/>
      </c>
      <c r="AI18" s="145" t="str">
        <f>IF($G$18=0,"",$G$18)</f>
        <v/>
      </c>
      <c r="AJ18" s="145" t="str">
        <f>IF($J$18=0,"",$J$18)</f>
        <v/>
      </c>
      <c r="AK18" s="145" t="str">
        <f>IF($K$18="нет","без дифференциации",IF($N$18=0,"",$N$18))</f>
        <v/>
      </c>
      <c r="AL18" s="145" t="str">
        <f>IF($O$18="нет","без дифференциации",IF($R$18=0,"",$R$18))</f>
        <v/>
      </c>
      <c r="AM18" s="145" t="str">
        <f>IF($S$18="нет","без дифференциации",IF($V$18=0,"",$V$18))</f>
        <v/>
      </c>
      <c r="AN18" s="153">
        <f>$I$18</f>
        <v>0</v>
      </c>
      <c r="AO18" s="145" t="str">
        <f>$I$18&amp;"."&amp;$M$18</f>
        <v>.</v>
      </c>
      <c r="AP18" s="125" t="str">
        <f>$I$18&amp;"."&amp;$M$18&amp;"."&amp;$Q$18</f>
        <v>..</v>
      </c>
      <c r="AQ18" s="125" t="str">
        <f>$I$18&amp;"."&amp;$M$18&amp;"."&amp;$Q$18&amp;"."&amp;$U$18</f>
        <v>...</v>
      </c>
      <c r="AR18" s="111">
        <v>0</v>
      </c>
    </row>
    <row r="19" spans="4:44" ht="17.25" hidden="1" customHeight="1">
      <c r="D19" s="1021"/>
      <c r="E19" s="1034"/>
      <c r="F19" s="1024"/>
      <c r="G19" s="1014"/>
      <c r="H19" s="1017"/>
      <c r="I19" s="964"/>
      <c r="J19" s="964"/>
      <c r="K19" s="964"/>
      <c r="L19" s="964"/>
      <c r="M19" s="964"/>
      <c r="N19" s="964"/>
      <c r="O19" s="964"/>
      <c r="P19" s="964"/>
      <c r="Q19" s="964"/>
      <c r="R19" s="964"/>
      <c r="S19" s="964"/>
      <c r="W19" s="147"/>
      <c r="AR19" s="111">
        <v>0</v>
      </c>
    </row>
    <row r="20" spans="4:44" ht="17.25" hidden="1" customHeight="1">
      <c r="D20" s="1022"/>
      <c r="E20" s="1035"/>
      <c r="F20" s="1024"/>
      <c r="G20" s="1015"/>
      <c r="H20" s="1017"/>
      <c r="I20" s="964"/>
      <c r="J20" s="964"/>
      <c r="K20" s="964"/>
      <c r="L20" s="964"/>
      <c r="M20" s="964"/>
      <c r="N20" s="964"/>
      <c r="O20" s="964"/>
      <c r="W20" s="147"/>
      <c r="AR20" s="111">
        <v>0</v>
      </c>
    </row>
    <row r="21" spans="4:44" ht="17.25" hidden="1" customHeight="1">
      <c r="D21" s="1022"/>
      <c r="E21" s="1035"/>
      <c r="F21" s="1024"/>
      <c r="G21" s="1015"/>
      <c r="H21" s="1017"/>
      <c r="I21" s="964"/>
      <c r="J21" s="964"/>
      <c r="K21" s="964"/>
      <c r="W21" s="147"/>
      <c r="AR21" s="111">
        <v>0</v>
      </c>
    </row>
    <row r="22" spans="4:44" ht="17.25" hidden="1" customHeight="1">
      <c r="D22" s="1022"/>
      <c r="E22" s="1035"/>
      <c r="F22" s="1025"/>
      <c r="G22" s="1015"/>
      <c r="H22" s="149"/>
      <c r="I22" s="150"/>
      <c r="J22" s="150"/>
      <c r="K22" s="150"/>
      <c r="L22" s="150"/>
      <c r="M22" s="150"/>
      <c r="N22" s="150"/>
      <c r="O22" s="150"/>
      <c r="P22" s="150"/>
      <c r="Q22" s="150"/>
      <c r="R22" s="150"/>
      <c r="S22" s="151"/>
      <c r="T22" s="151"/>
      <c r="U22" s="151"/>
      <c r="V22" s="151"/>
      <c r="W22" s="152"/>
      <c r="AR22" s="111">
        <v>0</v>
      </c>
    </row>
    <row r="23" spans="4:44" ht="17.25" hidden="1" customHeight="1">
      <c r="D23" s="1021">
        <v>2</v>
      </c>
      <c r="E23" s="1014" t="s">
        <v>168</v>
      </c>
      <c r="F23" s="1023" t="s">
        <v>19</v>
      </c>
      <c r="G23" s="1014"/>
      <c r="H23" s="1016"/>
      <c r="I23" s="1018"/>
      <c r="J23" s="1019"/>
      <c r="K23" s="1013"/>
      <c r="L23" s="1013"/>
      <c r="M23" s="1013"/>
      <c r="N23" s="1020"/>
      <c r="O23" s="1013"/>
      <c r="P23" s="1013"/>
      <c r="Q23" s="1013"/>
      <c r="R23" s="1012"/>
      <c r="S23" s="1013"/>
      <c r="T23" s="142"/>
      <c r="U23" s="142"/>
      <c r="V23" s="143"/>
      <c r="W23" s="144"/>
      <c r="AC23" s="145" t="s">
        <v>163</v>
      </c>
      <c r="AD23" s="145" t="s">
        <v>164</v>
      </c>
      <c r="AE23" s="145" t="s">
        <v>165</v>
      </c>
      <c r="AF23" s="145" t="s">
        <v>166</v>
      </c>
      <c r="AG23" s="145" t="s">
        <v>167</v>
      </c>
      <c r="AH23" s="145" t="str">
        <f>IF($E$23=0,"",$E$23)</f>
        <v>Тарифы на тепловую энергию (мощность), поставляемую теплоснабжающими организациями потребителям, другим теплоснабжающим организациям</v>
      </c>
      <c r="AI23" s="145" t="str">
        <f>IF($G$23=0,"",$G$23)</f>
        <v/>
      </c>
      <c r="AJ23" s="145" t="str">
        <f>IF($J$23=0,"",$J$23)</f>
        <v/>
      </c>
      <c r="AK23" s="145" t="str">
        <f>IF($K$23="нет","без дифференциации",IF($N$23=0,"",$N$23))</f>
        <v/>
      </c>
      <c r="AL23" s="145" t="str">
        <f>IF($O$23="нет","без дифференциации",IF($R$23=0,"",$R$23))</f>
        <v/>
      </c>
      <c r="AM23" s="145" t="str">
        <f>IF($S$23="нет","без дифференциации",IF($V$23=0,"",$V$23))</f>
        <v/>
      </c>
      <c r="AN23" s="153">
        <f>$I$23</f>
        <v>0</v>
      </c>
      <c r="AO23" s="145" t="str">
        <f>$I$23&amp;"."&amp;$M$23</f>
        <v>.</v>
      </c>
      <c r="AP23" s="125" t="str">
        <f>$I$23&amp;"."&amp;$M$23&amp;"."&amp;$Q$23</f>
        <v>..</v>
      </c>
      <c r="AQ23" s="125" t="str">
        <f>$I$23&amp;"."&amp;$M$23&amp;"."&amp;$Q$23&amp;"."&amp;$U$23</f>
        <v>...</v>
      </c>
      <c r="AR23" s="111">
        <v>0</v>
      </c>
    </row>
    <row r="24" spans="4:44" ht="17.25" hidden="1" customHeight="1">
      <c r="D24" s="1021"/>
      <c r="E24" s="1014"/>
      <c r="F24" s="1024"/>
      <c r="G24" s="1014"/>
      <c r="H24" s="1017"/>
      <c r="I24" s="964"/>
      <c r="J24" s="964"/>
      <c r="K24" s="964"/>
      <c r="L24" s="964"/>
      <c r="M24" s="964"/>
      <c r="N24" s="964"/>
      <c r="O24" s="964"/>
      <c r="P24" s="964"/>
      <c r="Q24" s="964"/>
      <c r="R24" s="964"/>
      <c r="S24" s="964"/>
      <c r="W24" s="147"/>
      <c r="AR24" s="111">
        <v>0</v>
      </c>
    </row>
    <row r="25" spans="4:44" ht="17.25" hidden="1" customHeight="1">
      <c r="D25" s="1022"/>
      <c r="E25" s="1015"/>
      <c r="F25" s="1024"/>
      <c r="G25" s="1015"/>
      <c r="H25" s="1017"/>
      <c r="I25" s="964"/>
      <c r="J25" s="964"/>
      <c r="K25" s="964"/>
      <c r="L25" s="964"/>
      <c r="M25" s="964"/>
      <c r="N25" s="964"/>
      <c r="O25" s="964"/>
      <c r="W25" s="147"/>
      <c r="AR25" s="111">
        <v>0</v>
      </c>
    </row>
    <row r="26" spans="4:44" ht="17.25" hidden="1" customHeight="1">
      <c r="D26" s="1022"/>
      <c r="E26" s="1015"/>
      <c r="F26" s="1024"/>
      <c r="G26" s="1015"/>
      <c r="H26" s="1017"/>
      <c r="I26" s="964"/>
      <c r="J26" s="964"/>
      <c r="K26" s="964"/>
      <c r="W26" s="147"/>
      <c r="AR26" s="111">
        <v>0</v>
      </c>
    </row>
    <row r="27" spans="4:44" ht="17.25" hidden="1" customHeight="1">
      <c r="D27" s="1022"/>
      <c r="E27" s="1015"/>
      <c r="F27" s="1025"/>
      <c r="G27" s="1015"/>
      <c r="H27" s="149"/>
      <c r="I27" s="150"/>
      <c r="J27" s="150"/>
      <c r="K27" s="150"/>
      <c r="L27" s="150"/>
      <c r="M27" s="150"/>
      <c r="N27" s="150"/>
      <c r="O27" s="150"/>
      <c r="P27" s="150"/>
      <c r="Q27" s="150"/>
      <c r="R27" s="150"/>
      <c r="S27" s="151"/>
      <c r="T27" s="151"/>
      <c r="U27" s="151"/>
      <c r="V27" s="151"/>
      <c r="W27" s="152"/>
      <c r="AR27" s="111">
        <v>0</v>
      </c>
    </row>
    <row r="28" spans="4:44" ht="17.25" hidden="1" customHeight="1">
      <c r="D28" s="1021">
        <v>3</v>
      </c>
      <c r="E28" s="1014" t="s">
        <v>169</v>
      </c>
      <c r="F28" s="1023" t="s">
        <v>19</v>
      </c>
      <c r="G28" s="1014"/>
      <c r="H28" s="1016"/>
      <c r="I28" s="1018"/>
      <c r="J28" s="1019"/>
      <c r="K28" s="1013"/>
      <c r="L28" s="1013"/>
      <c r="M28" s="1013"/>
      <c r="N28" s="1020"/>
      <c r="O28" s="1013"/>
      <c r="P28" s="1013"/>
      <c r="Q28" s="1013"/>
      <c r="R28" s="1012"/>
      <c r="S28" s="1013"/>
      <c r="T28" s="142"/>
      <c r="U28" s="142"/>
      <c r="V28" s="143"/>
      <c r="W28" s="144"/>
      <c r="AC28" s="145" t="s">
        <v>170</v>
      </c>
      <c r="AD28" s="145" t="s">
        <v>171</v>
      </c>
      <c r="AE28" s="145" t="s">
        <v>172</v>
      </c>
      <c r="AF28" s="145" t="s">
        <v>173</v>
      </c>
      <c r="AG28" s="145" t="s">
        <v>174</v>
      </c>
      <c r="AH28" s="145" t="str">
        <f>IF($E$28=0,"",$E$28)</f>
        <v>Тарифы на теплоноситель, поставляемый теплоснабжающими организациями потребителям, другим теплоснабжающим организациям</v>
      </c>
      <c r="AI28" s="145" t="str">
        <f>IF($G$28=0,"",$G$28)</f>
        <v/>
      </c>
      <c r="AJ28" s="145" t="str">
        <f>IF($J$28=0,"",$J$28)</f>
        <v/>
      </c>
      <c r="AK28" s="145" t="str">
        <f>IF($K$28="нет","без дифференциации",IF($N$28=0,"",$N$28))</f>
        <v/>
      </c>
      <c r="AL28" s="145" t="str">
        <f>IF($O$28="нет","без дифференциации",IF($R$28=0,"",$R$28))</f>
        <v/>
      </c>
      <c r="AM28" s="145" t="str">
        <f>IF($S$28="нет","без дифференциации",IF($V$28=0,"",$V$28))</f>
        <v/>
      </c>
      <c r="AN28" s="153">
        <f>$I$28</f>
        <v>0</v>
      </c>
      <c r="AO28" s="145" t="str">
        <f>$I$28&amp;"."&amp;$M$28</f>
        <v>.</v>
      </c>
      <c r="AP28" s="125" t="str">
        <f>$I$28&amp;"."&amp;$M$28&amp;"."&amp;$Q$28</f>
        <v>..</v>
      </c>
      <c r="AQ28" s="125" t="str">
        <f>$I$28&amp;"."&amp;$M$28&amp;"."&amp;$Q$28&amp;"."&amp;$U$28</f>
        <v>...</v>
      </c>
      <c r="AR28" s="111">
        <v>0</v>
      </c>
    </row>
    <row r="29" spans="4:44" ht="17.25" hidden="1" customHeight="1">
      <c r="D29" s="1021"/>
      <c r="E29" s="1014"/>
      <c r="F29" s="1024"/>
      <c r="G29" s="1014"/>
      <c r="H29" s="1017"/>
      <c r="I29" s="964"/>
      <c r="J29" s="964"/>
      <c r="K29" s="964"/>
      <c r="L29" s="964"/>
      <c r="M29" s="964"/>
      <c r="N29" s="964"/>
      <c r="O29" s="964"/>
      <c r="P29" s="964"/>
      <c r="Q29" s="964"/>
      <c r="R29" s="964"/>
      <c r="S29" s="964"/>
      <c r="W29" s="147"/>
      <c r="AR29" s="111">
        <v>0</v>
      </c>
    </row>
    <row r="30" spans="4:44" ht="17.25" hidden="1" customHeight="1">
      <c r="D30" s="1022"/>
      <c r="E30" s="1015"/>
      <c r="F30" s="1024"/>
      <c r="G30" s="1015"/>
      <c r="H30" s="1017"/>
      <c r="I30" s="964"/>
      <c r="J30" s="964"/>
      <c r="K30" s="964"/>
      <c r="L30" s="964"/>
      <c r="M30" s="964"/>
      <c r="N30" s="964"/>
      <c r="O30" s="964"/>
      <c r="W30" s="147"/>
      <c r="AR30" s="111">
        <v>0</v>
      </c>
    </row>
    <row r="31" spans="4:44" ht="17.25" hidden="1" customHeight="1">
      <c r="D31" s="1022"/>
      <c r="E31" s="1015"/>
      <c r="F31" s="1024"/>
      <c r="G31" s="1015"/>
      <c r="H31" s="1017"/>
      <c r="I31" s="964"/>
      <c r="J31" s="964"/>
      <c r="K31" s="964"/>
      <c r="W31" s="147"/>
      <c r="AR31" s="111">
        <v>0</v>
      </c>
    </row>
    <row r="32" spans="4:44" ht="17.25" hidden="1" customHeight="1">
      <c r="D32" s="1022"/>
      <c r="E32" s="1015"/>
      <c r="F32" s="1025"/>
      <c r="G32" s="1015"/>
      <c r="H32" s="149"/>
      <c r="I32" s="150"/>
      <c r="J32" s="150"/>
      <c r="K32" s="150"/>
      <c r="L32" s="150"/>
      <c r="M32" s="150"/>
      <c r="N32" s="150"/>
      <c r="O32" s="150"/>
      <c r="P32" s="150"/>
      <c r="Q32" s="150"/>
      <c r="R32" s="150"/>
      <c r="S32" s="151"/>
      <c r="T32" s="151"/>
      <c r="U32" s="151"/>
      <c r="V32" s="151"/>
      <c r="W32" s="152"/>
      <c r="AR32" s="111">
        <v>0</v>
      </c>
    </row>
    <row r="33" spans="4:44" ht="17.25" hidden="1" customHeight="1">
      <c r="D33" s="1021">
        <v>4</v>
      </c>
      <c r="E33" s="1014" t="s">
        <v>175</v>
      </c>
      <c r="F33" s="1023" t="s">
        <v>19</v>
      </c>
      <c r="G33" s="1014"/>
      <c r="H33" s="1016"/>
      <c r="I33" s="1018"/>
      <c r="J33" s="1019"/>
      <c r="K33" s="1013"/>
      <c r="L33" s="1013"/>
      <c r="M33" s="1013"/>
      <c r="N33" s="1020"/>
      <c r="O33" s="1013"/>
      <c r="P33" s="1013"/>
      <c r="Q33" s="1013"/>
      <c r="R33" s="1012"/>
      <c r="S33" s="1013"/>
      <c r="T33" s="142"/>
      <c r="U33" s="142"/>
      <c r="V33" s="143"/>
      <c r="W33" s="144"/>
      <c r="AC33" s="145" t="s">
        <v>176</v>
      </c>
      <c r="AD33" s="145" t="s">
        <v>177</v>
      </c>
      <c r="AE33" s="145" t="s">
        <v>178</v>
      </c>
      <c r="AF33" s="145" t="s">
        <v>179</v>
      </c>
      <c r="AG33" s="145" t="s">
        <v>180</v>
      </c>
      <c r="AH33" s="14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5" t="str">
        <f>IF($G$33=0,"",$G$33)</f>
        <v/>
      </c>
      <c r="AJ33" s="145" t="str">
        <f>IF($J$33=0,"",$J$33)</f>
        <v/>
      </c>
      <c r="AK33" s="145" t="str">
        <f>IF($K$33="нет","без дифференциации",IF($N$33=0,"",$N$33))</f>
        <v/>
      </c>
      <c r="AL33" s="145" t="str">
        <f>IF($O$33="нет","без дифференциации",IF($R$33=0,"",$R$33))</f>
        <v/>
      </c>
      <c r="AM33" s="145" t="str">
        <f>IF($S$33="нет","без дифференциации",IF($V$33=0,"",$V$33))</f>
        <v/>
      </c>
      <c r="AN33" s="153">
        <f>$I$33</f>
        <v>0</v>
      </c>
      <c r="AO33" s="145" t="str">
        <f>$I$33&amp;"."&amp;$M$33</f>
        <v>.</v>
      </c>
      <c r="AP33" s="125" t="str">
        <f>$I$33&amp;"."&amp;$M$33&amp;"."&amp;$Q$33</f>
        <v>..</v>
      </c>
      <c r="AQ33" s="125" t="str">
        <f>$I$33&amp;"."&amp;$M$33&amp;"."&amp;$Q$33&amp;"."&amp;$U$33</f>
        <v>...</v>
      </c>
      <c r="AR33" s="111">
        <v>0</v>
      </c>
    </row>
    <row r="34" spans="4:44" ht="17.25" hidden="1" customHeight="1">
      <c r="D34" s="1021"/>
      <c r="E34" s="1014"/>
      <c r="F34" s="1024"/>
      <c r="G34" s="1014"/>
      <c r="H34" s="1017"/>
      <c r="I34" s="964"/>
      <c r="J34" s="964"/>
      <c r="K34" s="964"/>
      <c r="L34" s="964"/>
      <c r="M34" s="964"/>
      <c r="N34" s="964"/>
      <c r="O34" s="964"/>
      <c r="P34" s="964"/>
      <c r="Q34" s="964"/>
      <c r="R34" s="964"/>
      <c r="S34" s="964"/>
      <c r="W34" s="147"/>
      <c r="AR34" s="111">
        <v>0</v>
      </c>
    </row>
    <row r="35" spans="4:44" ht="17.25" hidden="1" customHeight="1">
      <c r="D35" s="1022"/>
      <c r="E35" s="1015"/>
      <c r="F35" s="1024"/>
      <c r="G35" s="1015"/>
      <c r="H35" s="1017"/>
      <c r="I35" s="964"/>
      <c r="J35" s="964"/>
      <c r="K35" s="964"/>
      <c r="L35" s="964"/>
      <c r="M35" s="964"/>
      <c r="N35" s="964"/>
      <c r="O35" s="964"/>
      <c r="W35" s="147"/>
      <c r="AR35" s="111">
        <v>0</v>
      </c>
    </row>
    <row r="36" spans="4:44" ht="17.25" hidden="1" customHeight="1">
      <c r="D36" s="1022"/>
      <c r="E36" s="1015"/>
      <c r="F36" s="1024"/>
      <c r="G36" s="1015"/>
      <c r="H36" s="1017"/>
      <c r="I36" s="964"/>
      <c r="J36" s="964"/>
      <c r="K36" s="964"/>
      <c r="W36" s="147"/>
      <c r="AR36" s="111">
        <v>0</v>
      </c>
    </row>
    <row r="37" spans="4:44" ht="17.25" hidden="1" customHeight="1">
      <c r="D37" s="1022"/>
      <c r="E37" s="1015"/>
      <c r="F37" s="1025"/>
      <c r="G37" s="1015"/>
      <c r="H37" s="149"/>
      <c r="I37" s="150"/>
      <c r="J37" s="150"/>
      <c r="K37" s="150"/>
      <c r="L37" s="150"/>
      <c r="M37" s="150"/>
      <c r="N37" s="150"/>
      <c r="O37" s="150"/>
      <c r="P37" s="150"/>
      <c r="Q37" s="150"/>
      <c r="R37" s="150"/>
      <c r="S37" s="151"/>
      <c r="T37" s="151"/>
      <c r="U37" s="151"/>
      <c r="V37" s="151"/>
      <c r="W37" s="152"/>
      <c r="AR37" s="111">
        <v>0</v>
      </c>
    </row>
    <row r="38" spans="4:44" ht="17.25" hidden="1" customHeight="1">
      <c r="D38" s="1021">
        <v>5</v>
      </c>
      <c r="E38" s="1014" t="s">
        <v>181</v>
      </c>
      <c r="F38" s="1023" t="s">
        <v>19</v>
      </c>
      <c r="G38" s="1014"/>
      <c r="H38" s="1016"/>
      <c r="I38" s="1018"/>
      <c r="J38" s="1019"/>
      <c r="K38" s="1013"/>
      <c r="L38" s="1013"/>
      <c r="M38" s="1013"/>
      <c r="N38" s="1020"/>
      <c r="O38" s="1013"/>
      <c r="P38" s="1013"/>
      <c r="Q38" s="1013"/>
      <c r="R38" s="1012"/>
      <c r="S38" s="1013"/>
      <c r="T38" s="142"/>
      <c r="U38" s="142"/>
      <c r="V38" s="143"/>
      <c r="W38" s="144"/>
      <c r="AC38" s="145" t="s">
        <v>182</v>
      </c>
      <c r="AD38" s="145" t="s">
        <v>183</v>
      </c>
      <c r="AE38" s="145" t="s">
        <v>184</v>
      </c>
      <c r="AF38" s="145" t="s">
        <v>185</v>
      </c>
      <c r="AG38" s="145" t="s">
        <v>186</v>
      </c>
      <c r="AH38" s="145" t="str">
        <f>IF($E$38=0,"",$E$38)</f>
        <v>Тарифы на услуги по передаче тепловой энергии</v>
      </c>
      <c r="AI38" s="145" t="str">
        <f>IF($G$38=0,"",$G$38)</f>
        <v/>
      </c>
      <c r="AJ38" s="145" t="str">
        <f>IF($J$38=0,"",$J$38)</f>
        <v/>
      </c>
      <c r="AK38" s="145" t="str">
        <f>IF($K$38="нет","без дифференциации",IF($N$38=0,"",$N$38))</f>
        <v/>
      </c>
      <c r="AL38" s="145" t="str">
        <f>IF($O$38="нет","без дифференциации",IF($R$38=0,"",$R$38))</f>
        <v/>
      </c>
      <c r="AM38" s="145" t="str">
        <f>IF($S$38="нет","без дифференциации",IF($V$38=0,"",$V$38))</f>
        <v/>
      </c>
      <c r="AN38" s="153">
        <f>$I$38</f>
        <v>0</v>
      </c>
      <c r="AO38" s="145" t="str">
        <f>$I$38&amp;"."&amp;$M$38</f>
        <v>.</v>
      </c>
      <c r="AP38" s="125" t="str">
        <f>$I$38&amp;"."&amp;$M$38&amp;"."&amp;$Q$38</f>
        <v>..</v>
      </c>
      <c r="AQ38" s="125" t="str">
        <f>$I$38&amp;"."&amp;$M$38&amp;"."&amp;$Q$38&amp;"."&amp;$U$38</f>
        <v>...</v>
      </c>
      <c r="AR38" s="111">
        <v>0</v>
      </c>
    </row>
    <row r="39" spans="4:44" ht="17.25" hidden="1" customHeight="1">
      <c r="D39" s="1021"/>
      <c r="E39" s="1014"/>
      <c r="F39" s="1024"/>
      <c r="G39" s="1014"/>
      <c r="H39" s="1017"/>
      <c r="I39" s="964"/>
      <c r="J39" s="964"/>
      <c r="K39" s="964"/>
      <c r="L39" s="964"/>
      <c r="M39" s="964"/>
      <c r="N39" s="964"/>
      <c r="O39" s="964"/>
      <c r="P39" s="964"/>
      <c r="Q39" s="964"/>
      <c r="R39" s="964"/>
      <c r="S39" s="964"/>
      <c r="W39" s="147"/>
      <c r="AR39" s="111">
        <v>0</v>
      </c>
    </row>
    <row r="40" spans="4:44" ht="17.25" hidden="1" customHeight="1">
      <c r="D40" s="1022"/>
      <c r="E40" s="1015"/>
      <c r="F40" s="1024"/>
      <c r="G40" s="1015"/>
      <c r="H40" s="1017"/>
      <c r="I40" s="964"/>
      <c r="J40" s="964"/>
      <c r="K40" s="964"/>
      <c r="L40" s="964"/>
      <c r="M40" s="964"/>
      <c r="N40" s="964"/>
      <c r="O40" s="964"/>
      <c r="W40" s="147"/>
      <c r="AR40" s="111">
        <v>0</v>
      </c>
    </row>
    <row r="41" spans="4:44" ht="17.25" hidden="1" customHeight="1">
      <c r="D41" s="1022"/>
      <c r="E41" s="1015"/>
      <c r="F41" s="1024"/>
      <c r="G41" s="1015"/>
      <c r="H41" s="1017"/>
      <c r="I41" s="964"/>
      <c r="J41" s="964"/>
      <c r="K41" s="964"/>
      <c r="W41" s="147"/>
      <c r="AR41" s="111">
        <v>0</v>
      </c>
    </row>
    <row r="42" spans="4:44" ht="17.25" hidden="1" customHeight="1">
      <c r="D42" s="1022"/>
      <c r="E42" s="1015"/>
      <c r="F42" s="1025"/>
      <c r="G42" s="1015"/>
      <c r="H42" s="149"/>
      <c r="I42" s="150"/>
      <c r="J42" s="150"/>
      <c r="K42" s="150"/>
      <c r="L42" s="150"/>
      <c r="M42" s="150"/>
      <c r="N42" s="150"/>
      <c r="O42" s="150"/>
      <c r="P42" s="150"/>
      <c r="Q42" s="150"/>
      <c r="R42" s="150"/>
      <c r="S42" s="151"/>
      <c r="T42" s="151"/>
      <c r="U42" s="151"/>
      <c r="V42" s="151"/>
      <c r="W42" s="152"/>
      <c r="AR42" s="111">
        <v>0</v>
      </c>
    </row>
    <row r="43" spans="4:44" ht="17.25" hidden="1" customHeight="1">
      <c r="D43" s="1021">
        <v>6</v>
      </c>
      <c r="E43" s="1014" t="s">
        <v>187</v>
      </c>
      <c r="F43" s="1023" t="s">
        <v>19</v>
      </c>
      <c r="G43" s="1014"/>
      <c r="H43" s="1016"/>
      <c r="I43" s="1018"/>
      <c r="J43" s="1019"/>
      <c r="K43" s="1013"/>
      <c r="L43" s="1013"/>
      <c r="M43" s="1013"/>
      <c r="N43" s="1020"/>
      <c r="O43" s="1013"/>
      <c r="P43" s="1013"/>
      <c r="Q43" s="1013"/>
      <c r="R43" s="1012"/>
      <c r="S43" s="1013"/>
      <c r="T43" s="142"/>
      <c r="U43" s="142"/>
      <c r="V43" s="143"/>
      <c r="W43" s="144"/>
      <c r="AC43" s="145" t="s">
        <v>188</v>
      </c>
      <c r="AD43" s="145" t="s">
        <v>189</v>
      </c>
      <c r="AE43" s="145" t="s">
        <v>190</v>
      </c>
      <c r="AF43" s="145" t="s">
        <v>191</v>
      </c>
      <c r="AG43" s="145" t="s">
        <v>192</v>
      </c>
      <c r="AH43" s="145" t="str">
        <f>IF($E$43=0,"",$E$43)</f>
        <v>Тарифы на услуги по передаче теплоносителя</v>
      </c>
      <c r="AI43" s="145" t="str">
        <f>IF($G$43=0,"",$G$43)</f>
        <v/>
      </c>
      <c r="AJ43" s="145" t="str">
        <f>IF($J$43=0,"",$J$43)</f>
        <v/>
      </c>
      <c r="AK43" s="145" t="str">
        <f>IF($K$43="нет","без дифференциации",IF($N$43=0,"",$N$43))</f>
        <v/>
      </c>
      <c r="AL43" s="145" t="str">
        <f>IF($O$43="нет","без дифференциации",IF($R$43=0,"",$R$43))</f>
        <v/>
      </c>
      <c r="AM43" s="145" t="str">
        <f>IF($S$43="нет","без дифференциации",IF($V$43=0,"",$V$43))</f>
        <v/>
      </c>
      <c r="AN43" s="153">
        <f>$I$43</f>
        <v>0</v>
      </c>
      <c r="AO43" s="145" t="str">
        <f>$I$43&amp;"."&amp;$M$43</f>
        <v>.</v>
      </c>
      <c r="AP43" s="125" t="str">
        <f>$I$43&amp;"."&amp;$M$43&amp;"."&amp;$Q$43</f>
        <v>..</v>
      </c>
      <c r="AQ43" s="125" t="str">
        <f>$I$43&amp;"."&amp;$M$43&amp;"."&amp;$Q$43&amp;"."&amp;$U$43</f>
        <v>...</v>
      </c>
      <c r="AR43" s="111">
        <v>0</v>
      </c>
    </row>
    <row r="44" spans="4:44" ht="17.25" hidden="1" customHeight="1">
      <c r="D44" s="1021"/>
      <c r="E44" s="1014"/>
      <c r="F44" s="1024"/>
      <c r="G44" s="1014"/>
      <c r="H44" s="1017"/>
      <c r="I44" s="964"/>
      <c r="J44" s="964"/>
      <c r="K44" s="964"/>
      <c r="L44" s="964"/>
      <c r="M44" s="964"/>
      <c r="N44" s="964"/>
      <c r="O44" s="964"/>
      <c r="P44" s="964"/>
      <c r="Q44" s="964"/>
      <c r="R44" s="964"/>
      <c r="S44" s="964"/>
      <c r="W44" s="147"/>
      <c r="AR44" s="111">
        <v>0</v>
      </c>
    </row>
    <row r="45" spans="4:44" ht="17.25" hidden="1" customHeight="1">
      <c r="D45" s="1022"/>
      <c r="E45" s="1015"/>
      <c r="F45" s="1024"/>
      <c r="G45" s="1015"/>
      <c r="H45" s="1017"/>
      <c r="I45" s="964"/>
      <c r="J45" s="964"/>
      <c r="K45" s="964"/>
      <c r="L45" s="964"/>
      <c r="M45" s="964"/>
      <c r="N45" s="964"/>
      <c r="O45" s="964"/>
      <c r="W45" s="147"/>
      <c r="AR45" s="111">
        <v>0</v>
      </c>
    </row>
    <row r="46" spans="4:44" ht="17.25" hidden="1" customHeight="1">
      <c r="D46" s="1022"/>
      <c r="E46" s="1015"/>
      <c r="F46" s="1024"/>
      <c r="G46" s="1015"/>
      <c r="H46" s="1017"/>
      <c r="I46" s="964"/>
      <c r="J46" s="964"/>
      <c r="K46" s="964"/>
      <c r="W46" s="147"/>
      <c r="AR46" s="111">
        <v>0</v>
      </c>
    </row>
    <row r="47" spans="4:44" ht="17.25" hidden="1" customHeight="1">
      <c r="D47" s="1022"/>
      <c r="E47" s="1015"/>
      <c r="F47" s="1025"/>
      <c r="G47" s="1015"/>
      <c r="H47" s="149"/>
      <c r="I47" s="150"/>
      <c r="J47" s="150"/>
      <c r="K47" s="150"/>
      <c r="L47" s="150"/>
      <c r="M47" s="150"/>
      <c r="N47" s="150"/>
      <c r="O47" s="150"/>
      <c r="P47" s="150"/>
      <c r="Q47" s="150"/>
      <c r="R47" s="150"/>
      <c r="S47" s="151"/>
      <c r="T47" s="151"/>
      <c r="U47" s="151"/>
      <c r="V47" s="151"/>
      <c r="W47" s="152"/>
      <c r="AR47" s="111">
        <v>0</v>
      </c>
    </row>
    <row r="48" spans="4:44" ht="17.25" hidden="1" customHeight="1">
      <c r="D48" s="1028">
        <v>7</v>
      </c>
      <c r="E48" s="1031" t="s">
        <v>193</v>
      </c>
      <c r="F48" s="1023" t="s">
        <v>19</v>
      </c>
      <c r="G48" s="1031"/>
      <c r="H48" s="1016"/>
      <c r="I48" s="1018"/>
      <c r="J48" s="1019"/>
      <c r="K48" s="1013"/>
      <c r="L48" s="1013"/>
      <c r="M48" s="1013"/>
      <c r="N48" s="1020"/>
      <c r="O48" s="1013"/>
      <c r="P48" s="1013"/>
      <c r="Q48" s="1013"/>
      <c r="R48" s="1012"/>
      <c r="S48" s="1013"/>
      <c r="T48" s="142"/>
      <c r="U48" s="142"/>
      <c r="V48" s="143"/>
      <c r="W48" s="144"/>
      <c r="AC48" s="145" t="s">
        <v>194</v>
      </c>
      <c r="AD48" s="145" t="s">
        <v>195</v>
      </c>
      <c r="AE48" s="145" t="s">
        <v>196</v>
      </c>
      <c r="AF48" s="145" t="s">
        <v>197</v>
      </c>
      <c r="AG48" s="145" t="s">
        <v>198</v>
      </c>
      <c r="AH48" s="145" t="str">
        <f>IF($E$48=0,"",$E$48)</f>
        <v>Плата за услуги по поддержанию резервной тепловой мощности при отсутствии потребления тепловой энергии</v>
      </c>
      <c r="AI48" s="145" t="str">
        <f>IF($G$48=0,"",$G$48)</f>
        <v/>
      </c>
      <c r="AJ48" s="145" t="str">
        <f>IF($J$48=0,"",$J$48)</f>
        <v/>
      </c>
      <c r="AK48" s="145" t="str">
        <f>IF($K$48="нет","без дифференциации",IF($N$48=0,"",$N$48))</f>
        <v/>
      </c>
      <c r="AL48" s="145" t="str">
        <f>IF($O$48="нет","без дифференциации",IF($R$48=0,"",$R$48))</f>
        <v/>
      </c>
      <c r="AM48" s="145" t="str">
        <f>IF($S$48="нет","без дифференциации",IF($V$48=0,"",$V$48))</f>
        <v/>
      </c>
      <c r="AN48" s="153">
        <f>$I$48</f>
        <v>0</v>
      </c>
      <c r="AO48" s="145" t="str">
        <f>$I$48&amp;"."&amp;$M$48</f>
        <v>.</v>
      </c>
      <c r="AP48" s="125" t="str">
        <f>$I$48&amp;"."&amp;$M$48&amp;"."&amp;$Q$48</f>
        <v>..</v>
      </c>
      <c r="AQ48" s="125" t="str">
        <f>$I$48&amp;"."&amp;$M$48&amp;"."&amp;$Q$48&amp;"."&amp;$U$48</f>
        <v>...</v>
      </c>
      <c r="AR48" s="111">
        <v>0</v>
      </c>
    </row>
    <row r="49" spans="4:44" ht="17.25" hidden="1" customHeight="1">
      <c r="D49" s="1029"/>
      <c r="E49" s="1032"/>
      <c r="F49" s="1024"/>
      <c r="G49" s="1032"/>
      <c r="H49" s="1017"/>
      <c r="I49" s="964"/>
      <c r="J49" s="964"/>
      <c r="K49" s="964"/>
      <c r="L49" s="964"/>
      <c r="M49" s="964"/>
      <c r="N49" s="964"/>
      <c r="O49" s="964"/>
      <c r="P49" s="964"/>
      <c r="Q49" s="964"/>
      <c r="R49" s="964"/>
      <c r="S49" s="964"/>
      <c r="W49" s="147"/>
      <c r="AR49" s="111">
        <v>0</v>
      </c>
    </row>
    <row r="50" spans="4:44" ht="17.25" hidden="1" customHeight="1">
      <c r="D50" s="1029"/>
      <c r="E50" s="1032"/>
      <c r="F50" s="1024"/>
      <c r="G50" s="1032"/>
      <c r="H50" s="1017"/>
      <c r="I50" s="964"/>
      <c r="J50" s="964"/>
      <c r="K50" s="964"/>
      <c r="L50" s="964"/>
      <c r="M50" s="964"/>
      <c r="N50" s="964"/>
      <c r="O50" s="964"/>
      <c r="W50" s="147"/>
      <c r="AR50" s="111">
        <v>0</v>
      </c>
    </row>
    <row r="51" spans="4:44" ht="17.25" hidden="1" customHeight="1">
      <c r="D51" s="1029"/>
      <c r="E51" s="1032"/>
      <c r="F51" s="1024"/>
      <c r="G51" s="1032"/>
      <c r="H51" s="1017"/>
      <c r="I51" s="964"/>
      <c r="J51" s="964"/>
      <c r="K51" s="964"/>
      <c r="W51" s="147"/>
      <c r="AR51" s="111">
        <v>0</v>
      </c>
    </row>
    <row r="52" spans="4:44" ht="17.25" hidden="1" customHeight="1">
      <c r="D52" s="1030"/>
      <c r="E52" s="1033"/>
      <c r="F52" s="1025"/>
      <c r="G52" s="1033"/>
      <c r="H52" s="149"/>
      <c r="I52" s="150"/>
      <c r="J52" s="150"/>
      <c r="K52" s="150"/>
      <c r="L52" s="150"/>
      <c r="M52" s="150"/>
      <c r="N52" s="150"/>
      <c r="O52" s="150"/>
      <c r="P52" s="150"/>
      <c r="Q52" s="150"/>
      <c r="R52" s="150"/>
      <c r="S52" s="151"/>
      <c r="T52" s="151"/>
      <c r="U52" s="151"/>
      <c r="V52" s="151"/>
      <c r="W52" s="152"/>
      <c r="AR52" s="111">
        <v>0</v>
      </c>
    </row>
    <row r="53" spans="4:44" ht="17.25" hidden="1" customHeight="1">
      <c r="D53" s="1021">
        <v>8</v>
      </c>
      <c r="E53" s="1014" t="s">
        <v>199</v>
      </c>
      <c r="F53" s="1023" t="s">
        <v>19</v>
      </c>
      <c r="G53" s="1014"/>
      <c r="H53" s="1016"/>
      <c r="I53" s="1018"/>
      <c r="J53" s="1019"/>
      <c r="K53" s="1013"/>
      <c r="L53" s="1013"/>
      <c r="M53" s="1013"/>
      <c r="N53" s="1020"/>
      <c r="O53" s="1013"/>
      <c r="P53" s="1013"/>
      <c r="Q53" s="1013"/>
      <c r="R53" s="1012"/>
      <c r="S53" s="1013"/>
      <c r="T53" s="142"/>
      <c r="U53" s="142"/>
      <c r="V53" s="143"/>
      <c r="W53" s="144"/>
      <c r="AC53" s="145" t="s">
        <v>200</v>
      </c>
      <c r="AD53" s="145" t="s">
        <v>201</v>
      </c>
      <c r="AE53" s="145" t="s">
        <v>202</v>
      </c>
      <c r="AF53" s="145" t="s">
        <v>203</v>
      </c>
      <c r="AG53" s="145" t="s">
        <v>204</v>
      </c>
      <c r="AH53" s="145" t="str">
        <f>IF($E$53=0,"",$E$53)</f>
        <v>Плата за подключение (технологическое присоединение) к системе теплоснабжения</v>
      </c>
      <c r="AI53" s="145" t="str">
        <f>IF($G$53=0,"",$G$53)</f>
        <v/>
      </c>
      <c r="AJ53" s="145" t="str">
        <f>IF($J$53=0,"",$J$53)</f>
        <v/>
      </c>
      <c r="AK53" s="145" t="str">
        <f>IF($K$53="нет","без дифференциации",IF($N$53=0,"",$N$53))</f>
        <v/>
      </c>
      <c r="AL53" s="145" t="str">
        <f>IF($O$53="нет","без дифференциации",IF($R$53=0,"",$R$53))</f>
        <v/>
      </c>
      <c r="AM53" s="145" t="str">
        <f>IF($S$53="нет","без дифференциации",IF($V$53=0,"",$V$53))</f>
        <v/>
      </c>
      <c r="AN53" s="153">
        <f>$I$53</f>
        <v>0</v>
      </c>
      <c r="AO53" s="145" t="str">
        <f>$I$53&amp;"."&amp;$M$53</f>
        <v>.</v>
      </c>
      <c r="AP53" s="125" t="str">
        <f>$I$53&amp;"."&amp;$M$53&amp;"."&amp;$Q$53</f>
        <v>..</v>
      </c>
      <c r="AQ53" s="125" t="str">
        <f>$I$53&amp;"."&amp;$M$53&amp;"."&amp;$Q$53&amp;"."&amp;$U$53</f>
        <v>...</v>
      </c>
      <c r="AR53" s="111">
        <v>0</v>
      </c>
    </row>
    <row r="54" spans="4:44" ht="17.25" hidden="1" customHeight="1">
      <c r="D54" s="1021"/>
      <c r="E54" s="1014"/>
      <c r="F54" s="1024"/>
      <c r="G54" s="1014"/>
      <c r="H54" s="1017"/>
      <c r="I54" s="964"/>
      <c r="J54" s="964"/>
      <c r="K54" s="964"/>
      <c r="L54" s="964"/>
      <c r="M54" s="964"/>
      <c r="N54" s="964"/>
      <c r="O54" s="964"/>
      <c r="P54" s="964"/>
      <c r="Q54" s="964"/>
      <c r="R54" s="964"/>
      <c r="S54" s="964"/>
      <c r="W54" s="147"/>
      <c r="AR54" s="111">
        <v>0</v>
      </c>
    </row>
    <row r="55" spans="4:44" ht="17.25" hidden="1" customHeight="1">
      <c r="D55" s="1022"/>
      <c r="E55" s="1015"/>
      <c r="F55" s="1024"/>
      <c r="G55" s="1015"/>
      <c r="H55" s="1017"/>
      <c r="I55" s="964"/>
      <c r="J55" s="964"/>
      <c r="K55" s="964"/>
      <c r="L55" s="964"/>
      <c r="M55" s="964"/>
      <c r="N55" s="964"/>
      <c r="O55" s="964"/>
      <c r="W55" s="147"/>
      <c r="AR55" s="111">
        <v>0</v>
      </c>
    </row>
    <row r="56" spans="4:44" ht="17.25" hidden="1" customHeight="1">
      <c r="D56" s="1022"/>
      <c r="E56" s="1015"/>
      <c r="F56" s="1024"/>
      <c r="G56" s="1015"/>
      <c r="H56" s="1017"/>
      <c r="I56" s="964"/>
      <c r="J56" s="964"/>
      <c r="K56" s="964"/>
      <c r="W56" s="147"/>
      <c r="AR56" s="111">
        <v>0</v>
      </c>
    </row>
    <row r="57" spans="4:44" ht="17.25" hidden="1" customHeight="1">
      <c r="D57" s="1022"/>
      <c r="E57" s="1015"/>
      <c r="F57" s="1025"/>
      <c r="G57" s="1015"/>
      <c r="H57" s="149"/>
      <c r="I57" s="150"/>
      <c r="J57" s="150"/>
      <c r="K57" s="150"/>
      <c r="L57" s="150"/>
      <c r="M57" s="150"/>
      <c r="N57" s="150"/>
      <c r="O57" s="150"/>
      <c r="P57" s="150"/>
      <c r="Q57" s="150"/>
      <c r="R57" s="150"/>
      <c r="S57" s="151"/>
      <c r="T57" s="151"/>
      <c r="U57" s="151"/>
      <c r="V57" s="151"/>
      <c r="W57" s="152"/>
      <c r="AR57" s="111">
        <v>0</v>
      </c>
    </row>
    <row r="58" spans="4:44" ht="17.25" hidden="1" customHeight="1">
      <c r="D58" s="1021">
        <v>9</v>
      </c>
      <c r="E58" s="1014" t="s">
        <v>205</v>
      </c>
      <c r="F58" s="1023" t="s">
        <v>19</v>
      </c>
      <c r="G58" s="1014"/>
      <c r="H58" s="1016"/>
      <c r="I58" s="1018"/>
      <c r="J58" s="1019"/>
      <c r="K58" s="1013"/>
      <c r="L58" s="1013"/>
      <c r="M58" s="1013"/>
      <c r="N58" s="1020"/>
      <c r="O58" s="1013"/>
      <c r="P58" s="1013"/>
      <c r="Q58" s="1013"/>
      <c r="R58" s="1012"/>
      <c r="S58" s="1013"/>
      <c r="T58" s="142"/>
      <c r="U58" s="142"/>
      <c r="V58" s="143"/>
      <c r="W58" s="144"/>
      <c r="AC58" s="145" t="s">
        <v>206</v>
      </c>
      <c r="AD58" s="145" t="s">
        <v>207</v>
      </c>
      <c r="AE58" s="145" t="s">
        <v>208</v>
      </c>
      <c r="AF58" s="145" t="s">
        <v>209</v>
      </c>
      <c r="AG58" s="145" t="s">
        <v>210</v>
      </c>
      <c r="AH58" s="145" t="str">
        <f>IF($E$58=0,"",$E$58)</f>
        <v>Плата за подключение (технологическое присоединение) к системе теплоснабжения (индивидуальная)</v>
      </c>
      <c r="AI58" s="145" t="str">
        <f>IF($G$58=0,"",$G$58)</f>
        <v/>
      </c>
      <c r="AJ58" s="145" t="str">
        <f>IF($J$58=0,"",$J$58)</f>
        <v/>
      </c>
      <c r="AK58" s="145" t="str">
        <f>IF($K$58="нет","без дифференциации",IF($N$58=0,"",$N$58))</f>
        <v/>
      </c>
      <c r="AL58" s="145" t="str">
        <f>IF($O$58="нет","без дифференциации",IF($R$58=0,"",$R$58))</f>
        <v/>
      </c>
      <c r="AM58" s="145" t="str">
        <f>IF($S$58="нет","без дифференциации",IF($V$58=0,"",$V$58))</f>
        <v/>
      </c>
      <c r="AN58" s="153">
        <f>$I$58</f>
        <v>0</v>
      </c>
      <c r="AO58" s="145" t="str">
        <f>$I$58&amp;"."&amp;$M$58</f>
        <v>.</v>
      </c>
      <c r="AP58" s="125" t="str">
        <f>$I$58&amp;"."&amp;$M$58&amp;"."&amp;$Q$58</f>
        <v>..</v>
      </c>
      <c r="AQ58" s="125" t="str">
        <f>$I$58&amp;"."&amp;$M$58&amp;"."&amp;$Q$58&amp;"."&amp;$U$58</f>
        <v>...</v>
      </c>
      <c r="AR58" s="111">
        <v>0</v>
      </c>
    </row>
    <row r="59" spans="4:44" ht="17.25" hidden="1" customHeight="1">
      <c r="D59" s="1021"/>
      <c r="E59" s="1014"/>
      <c r="F59" s="1024"/>
      <c r="G59" s="1014"/>
      <c r="H59" s="1017"/>
      <c r="I59" s="964"/>
      <c r="J59" s="964"/>
      <c r="K59" s="964"/>
      <c r="L59" s="964"/>
      <c r="M59" s="964"/>
      <c r="N59" s="964"/>
      <c r="O59" s="964"/>
      <c r="P59" s="964"/>
      <c r="Q59" s="964"/>
      <c r="R59" s="964"/>
      <c r="S59" s="964"/>
      <c r="W59" s="147"/>
      <c r="AR59" s="111">
        <v>0</v>
      </c>
    </row>
    <row r="60" spans="4:44" ht="17.25" hidden="1" customHeight="1">
      <c r="D60" s="1022"/>
      <c r="E60" s="1015"/>
      <c r="F60" s="1024"/>
      <c r="G60" s="1015"/>
      <c r="H60" s="1017"/>
      <c r="I60" s="964"/>
      <c r="J60" s="964"/>
      <c r="K60" s="964"/>
      <c r="L60" s="964"/>
      <c r="M60" s="964"/>
      <c r="N60" s="964"/>
      <c r="O60" s="964"/>
      <c r="W60" s="147"/>
      <c r="AR60" s="111">
        <v>0</v>
      </c>
    </row>
    <row r="61" spans="4:44" ht="17.25" hidden="1" customHeight="1">
      <c r="D61" s="1022"/>
      <c r="E61" s="1015"/>
      <c r="F61" s="1024"/>
      <c r="G61" s="1015"/>
      <c r="H61" s="1017"/>
      <c r="I61" s="964"/>
      <c r="J61" s="964"/>
      <c r="K61" s="964"/>
      <c r="W61" s="147"/>
      <c r="AR61" s="111">
        <v>0</v>
      </c>
    </row>
    <row r="62" spans="4:44" ht="17.25" hidden="1" customHeight="1">
      <c r="D62" s="1022"/>
      <c r="E62" s="1015"/>
      <c r="F62" s="1025"/>
      <c r="G62" s="1015"/>
      <c r="H62" s="149"/>
      <c r="I62" s="150"/>
      <c r="J62" s="150"/>
      <c r="K62" s="150"/>
      <c r="L62" s="150"/>
      <c r="M62" s="150"/>
      <c r="N62" s="150"/>
      <c r="O62" s="150"/>
      <c r="P62" s="150"/>
      <c r="Q62" s="150"/>
      <c r="R62" s="150"/>
      <c r="S62" s="151"/>
      <c r="T62" s="151"/>
      <c r="U62" s="151"/>
      <c r="V62" s="151"/>
      <c r="W62" s="152"/>
      <c r="AR62" s="111">
        <v>0</v>
      </c>
    </row>
    <row r="63" spans="4:44" ht="17.25" hidden="1" customHeight="1">
      <c r="D63" s="1021">
        <v>10</v>
      </c>
      <c r="E63" s="1014" t="s">
        <v>211</v>
      </c>
      <c r="F63" s="1023" t="s">
        <v>19</v>
      </c>
      <c r="G63" s="1014"/>
      <c r="H63" s="1016"/>
      <c r="I63" s="1018"/>
      <c r="J63" s="1019"/>
      <c r="K63" s="1013"/>
      <c r="L63" s="1013"/>
      <c r="M63" s="1013"/>
      <c r="N63" s="1020"/>
      <c r="O63" s="1013"/>
      <c r="P63" s="1013"/>
      <c r="Q63" s="1013"/>
      <c r="R63" s="1012"/>
      <c r="S63" s="1013"/>
      <c r="T63" s="142"/>
      <c r="U63" s="142"/>
      <c r="V63" s="143"/>
      <c r="W63" s="144"/>
      <c r="AC63" s="145" t="s">
        <v>212</v>
      </c>
      <c r="AD63" s="145" t="s">
        <v>213</v>
      </c>
      <c r="AE63" s="145" t="s">
        <v>214</v>
      </c>
      <c r="AF63" s="145" t="s">
        <v>215</v>
      </c>
      <c r="AG63" s="145" t="s">
        <v>216</v>
      </c>
      <c r="AH63" s="145" t="str">
        <f>IF($E$63=0,"",$E$63)</f>
        <v>Предельный уровень цены на тепловую энергию (мощность), поставляемую теплоснабжающими организациями потребителям</v>
      </c>
      <c r="AI63" s="145" t="str">
        <f>IF($G$63=0,"",$G$63)</f>
        <v/>
      </c>
      <c r="AJ63" s="145" t="str">
        <f>IF($J$63=0,"",$J$63)</f>
        <v/>
      </c>
      <c r="AK63" s="145" t="str">
        <f>IF($K$63="нет","без дифференциации",IF($N$63=0,"",$N$63))</f>
        <v/>
      </c>
      <c r="AL63" s="145" t="str">
        <f>IF($O$63="нет","без дифференциации",IF($R$63=0,"",$R$63))</f>
        <v/>
      </c>
      <c r="AM63" s="145" t="str">
        <f>IF($S$63="нет","без дифференциации",IF($V$63=0,"",$V$63))</f>
        <v/>
      </c>
      <c r="AN63" s="153">
        <f>$I$63</f>
        <v>0</v>
      </c>
      <c r="AO63" s="145" t="str">
        <f>$I$63&amp;"."&amp;$M$63</f>
        <v>.</v>
      </c>
      <c r="AP63" s="125" t="str">
        <f>$I$63&amp;"."&amp;$M$63&amp;"."&amp;$Q$63</f>
        <v>..</v>
      </c>
      <c r="AQ63" s="125" t="str">
        <f>$I$63&amp;"."&amp;$M$63&amp;"."&amp;$Q$63&amp;"."&amp;$U$63</f>
        <v>...</v>
      </c>
      <c r="AR63" s="111">
        <v>0</v>
      </c>
    </row>
    <row r="64" spans="4:44" ht="17.25" hidden="1" customHeight="1">
      <c r="D64" s="1021"/>
      <c r="E64" s="1014"/>
      <c r="F64" s="1024"/>
      <c r="G64" s="1014"/>
      <c r="H64" s="1017"/>
      <c r="I64" s="964"/>
      <c r="J64" s="964"/>
      <c r="K64" s="964"/>
      <c r="L64" s="964"/>
      <c r="M64" s="964"/>
      <c r="N64" s="964"/>
      <c r="O64" s="964"/>
      <c r="P64" s="964"/>
      <c r="Q64" s="964"/>
      <c r="R64" s="964"/>
      <c r="S64" s="964"/>
      <c r="W64" s="147"/>
      <c r="AR64" s="111">
        <v>0</v>
      </c>
    </row>
    <row r="65" spans="4:44" ht="17.25" hidden="1" customHeight="1">
      <c r="D65" s="1022"/>
      <c r="E65" s="1015"/>
      <c r="F65" s="1024"/>
      <c r="G65" s="1015"/>
      <c r="H65" s="1017"/>
      <c r="I65" s="964"/>
      <c r="J65" s="964"/>
      <c r="K65" s="964"/>
      <c r="L65" s="964"/>
      <c r="M65" s="964"/>
      <c r="N65" s="964"/>
      <c r="O65" s="964"/>
      <c r="W65" s="147"/>
      <c r="AR65" s="111">
        <v>0</v>
      </c>
    </row>
    <row r="66" spans="4:44" ht="17.25" hidden="1" customHeight="1">
      <c r="D66" s="1022"/>
      <c r="E66" s="1015"/>
      <c r="F66" s="1024"/>
      <c r="G66" s="1015"/>
      <c r="H66" s="1017"/>
      <c r="I66" s="964"/>
      <c r="J66" s="964"/>
      <c r="K66" s="964"/>
      <c r="W66" s="147"/>
      <c r="AR66" s="111">
        <v>0</v>
      </c>
    </row>
    <row r="67" spans="4:44" ht="17.25" hidden="1" customHeight="1">
      <c r="D67" s="1022"/>
      <c r="E67" s="1015"/>
      <c r="F67" s="1025"/>
      <c r="G67" s="1015"/>
      <c r="H67" s="149"/>
      <c r="I67" s="150"/>
      <c r="J67" s="150"/>
      <c r="K67" s="150"/>
      <c r="L67" s="150"/>
      <c r="M67" s="150"/>
      <c r="N67" s="150"/>
      <c r="O67" s="150"/>
      <c r="P67" s="150"/>
      <c r="Q67" s="150"/>
      <c r="R67" s="150"/>
      <c r="S67" s="151"/>
      <c r="T67" s="151"/>
      <c r="U67" s="151"/>
      <c r="V67" s="151"/>
      <c r="W67" s="152"/>
      <c r="AR67" s="111">
        <v>0</v>
      </c>
    </row>
    <row r="68" spans="4:44" ht="11.25" hidden="1" customHeight="1">
      <c r="AR68" s="111">
        <v>0</v>
      </c>
    </row>
    <row r="69" spans="4:44" ht="11.25" hidden="1" customHeight="1">
      <c r="E69" s="1027" t="s">
        <v>217</v>
      </c>
      <c r="F69" s="964"/>
      <c r="G69" s="964"/>
      <c r="H69" s="964"/>
      <c r="I69" s="964"/>
      <c r="J69" s="964"/>
      <c r="K69" s="964"/>
      <c r="L69" s="964"/>
      <c r="M69" s="964"/>
      <c r="N69" s="964"/>
      <c r="O69" s="964"/>
      <c r="P69" s="964"/>
      <c r="Q69" s="964"/>
      <c r="R69" s="964"/>
      <c r="S69" s="964"/>
      <c r="T69" s="964"/>
      <c r="U69" s="964"/>
      <c r="V69" s="964"/>
      <c r="W69" s="964"/>
      <c r="AR69" s="111">
        <v>0</v>
      </c>
    </row>
    <row r="70" spans="4:44" ht="36.75" hidden="1" customHeight="1">
      <c r="E70" s="1026" t="s">
        <v>218</v>
      </c>
      <c r="F70" s="964"/>
      <c r="G70" s="964"/>
      <c r="H70" s="964"/>
      <c r="I70" s="964"/>
      <c r="J70" s="964"/>
      <c r="K70" s="964"/>
      <c r="L70" s="964"/>
      <c r="M70" s="964"/>
      <c r="N70" s="964"/>
      <c r="O70" s="964"/>
      <c r="P70" s="964"/>
      <c r="Q70" s="964"/>
      <c r="R70" s="964"/>
      <c r="S70" s="964"/>
      <c r="T70" s="964"/>
      <c r="U70" s="964"/>
      <c r="V70" s="964"/>
      <c r="W70" s="964"/>
      <c r="AR70" s="111">
        <v>0</v>
      </c>
    </row>
    <row r="71" spans="4:44" ht="28.5" hidden="1" customHeight="1">
      <c r="E71" s="1026" t="s">
        <v>219</v>
      </c>
      <c r="F71" s="964"/>
      <c r="G71" s="964"/>
      <c r="H71" s="964"/>
      <c r="I71" s="964"/>
      <c r="J71" s="964"/>
      <c r="K71" s="964"/>
      <c r="L71" s="964"/>
      <c r="M71" s="964"/>
      <c r="N71" s="964"/>
      <c r="O71" s="964"/>
      <c r="P71" s="964"/>
      <c r="Q71" s="964"/>
      <c r="R71" s="964"/>
      <c r="S71" s="964"/>
      <c r="T71" s="964"/>
      <c r="U71" s="964"/>
      <c r="V71" s="964"/>
      <c r="W71" s="964"/>
      <c r="AR71" s="111">
        <v>0</v>
      </c>
    </row>
    <row r="72" spans="4:44" ht="27" hidden="1" customHeight="1">
      <c r="E72" s="1026" t="s">
        <v>220</v>
      </c>
      <c r="F72" s="964"/>
      <c r="G72" s="964"/>
      <c r="H72" s="964"/>
      <c r="I72" s="964"/>
      <c r="J72" s="964"/>
      <c r="K72" s="964"/>
      <c r="L72" s="964"/>
      <c r="M72" s="964"/>
      <c r="N72" s="964"/>
      <c r="O72" s="964"/>
      <c r="P72" s="964"/>
      <c r="Q72" s="964"/>
      <c r="R72" s="964"/>
      <c r="S72" s="964"/>
      <c r="T72" s="964"/>
      <c r="U72" s="964"/>
      <c r="V72" s="964"/>
      <c r="W72" s="964"/>
      <c r="AR72" s="111">
        <v>0</v>
      </c>
    </row>
    <row r="73" spans="4:44" ht="17.25" hidden="1" customHeight="1">
      <c r="E73" s="1026" t="s">
        <v>221</v>
      </c>
      <c r="F73" s="964"/>
      <c r="G73" s="964"/>
      <c r="H73" s="964"/>
      <c r="I73" s="964"/>
      <c r="J73" s="964"/>
      <c r="K73" s="964"/>
      <c r="L73" s="964"/>
      <c r="M73" s="964"/>
      <c r="N73" s="964"/>
      <c r="O73" s="964"/>
      <c r="P73" s="964"/>
      <c r="Q73" s="964"/>
      <c r="R73" s="964"/>
      <c r="S73" s="964"/>
      <c r="T73" s="964"/>
      <c r="U73" s="964"/>
      <c r="V73" s="964"/>
      <c r="W73" s="964"/>
      <c r="AR73" s="111">
        <v>0</v>
      </c>
    </row>
    <row r="74" spans="4:44" ht="15" hidden="1" customHeight="1">
      <c r="AR74" s="111">
        <v>0</v>
      </c>
    </row>
    <row r="75" spans="4:44" ht="15" hidden="1" customHeight="1">
      <c r="E75" s="1027" t="s">
        <v>222</v>
      </c>
      <c r="F75" s="964"/>
      <c r="G75" s="964"/>
      <c r="H75" s="964"/>
      <c r="I75" s="964"/>
      <c r="J75" s="964"/>
      <c r="K75" s="964"/>
      <c r="L75" s="964"/>
      <c r="M75" s="964"/>
      <c r="N75" s="964"/>
      <c r="O75" s="964"/>
      <c r="P75" s="964"/>
      <c r="Q75" s="964"/>
      <c r="R75" s="964"/>
      <c r="S75" s="964"/>
      <c r="T75" s="964"/>
      <c r="U75" s="964"/>
      <c r="V75" s="964"/>
      <c r="W75" s="964"/>
      <c r="AR75" s="111">
        <v>0</v>
      </c>
    </row>
    <row r="76" spans="4:44" ht="17.25" hidden="1" customHeight="1">
      <c r="E76" s="1026" t="s">
        <v>223</v>
      </c>
      <c r="F76" s="964"/>
      <c r="G76" s="964"/>
      <c r="H76" s="964"/>
      <c r="I76" s="964"/>
      <c r="J76" s="964"/>
      <c r="K76" s="964"/>
      <c r="L76" s="964"/>
      <c r="M76" s="964"/>
      <c r="N76" s="964"/>
      <c r="O76" s="964"/>
      <c r="P76" s="964"/>
      <c r="Q76" s="964"/>
      <c r="R76" s="964"/>
      <c r="S76" s="964"/>
      <c r="T76" s="964"/>
      <c r="U76" s="964"/>
      <c r="V76" s="964"/>
      <c r="W76" s="964"/>
      <c r="AR76" s="111">
        <v>0</v>
      </c>
    </row>
    <row r="77" spans="4:44" ht="17.25" hidden="1" customHeight="1">
      <c r="E77" s="1026" t="s">
        <v>224</v>
      </c>
      <c r="F77" s="964"/>
      <c r="G77" s="964"/>
      <c r="H77" s="964"/>
      <c r="I77" s="964"/>
      <c r="J77" s="964"/>
      <c r="K77" s="964"/>
      <c r="L77" s="964"/>
      <c r="M77" s="964"/>
      <c r="N77" s="964"/>
      <c r="O77" s="964"/>
      <c r="P77" s="964"/>
      <c r="Q77" s="964"/>
      <c r="R77" s="964"/>
      <c r="S77" s="964"/>
      <c r="T77" s="964"/>
      <c r="U77" s="964"/>
      <c r="V77" s="964"/>
      <c r="W77" s="964"/>
      <c r="AR77" s="111">
        <v>0</v>
      </c>
    </row>
    <row r="78" spans="4:44" ht="11.25" hidden="1" customHeight="1">
      <c r="AR78" s="111">
        <v>0</v>
      </c>
    </row>
    <row r="79" spans="4:44" ht="17.25" hidden="1" customHeight="1">
      <c r="D79" s="1021">
        <v>1</v>
      </c>
      <c r="E79" s="1014" t="s">
        <v>225</v>
      </c>
      <c r="F79" s="1023" t="s">
        <v>19</v>
      </c>
      <c r="G79" s="1014"/>
      <c r="H79" s="1016"/>
      <c r="I79" s="1018"/>
      <c r="J79" s="1019"/>
      <c r="K79" s="1013"/>
      <c r="L79" s="1013"/>
      <c r="M79" s="1013"/>
      <c r="N79" s="1020"/>
      <c r="O79" s="1013"/>
      <c r="P79" s="1013"/>
      <c r="Q79" s="1013"/>
      <c r="R79" s="1012"/>
      <c r="S79" s="1013"/>
      <c r="T79" s="142"/>
      <c r="U79" s="142"/>
      <c r="V79" s="143"/>
      <c r="W79" s="144"/>
      <c r="AC79" s="145" t="s">
        <v>226</v>
      </c>
      <c r="AD79" s="145" t="s">
        <v>227</v>
      </c>
      <c r="AE79" s="145" t="s">
        <v>228</v>
      </c>
      <c r="AF79" s="145" t="s">
        <v>229</v>
      </c>
      <c r="AH79" s="145" t="str">
        <f>IF($E$79=0,"",$E$79)</f>
        <v>Тариф на питьевую воду (питьевое водоснабжение)</v>
      </c>
      <c r="AI79" s="145" t="str">
        <f>IF($G$79=0,"",$G$79)</f>
        <v/>
      </c>
      <c r="AJ79" s="145" t="str">
        <f>IF($J$79=0,"",$J$79)</f>
        <v/>
      </c>
      <c r="AK79" s="145" t="str">
        <f>IF($K$79="нет","без дифференциации",IF($N$79=0,"",$N$79))</f>
        <v/>
      </c>
      <c r="AL79" s="145" t="str">
        <f>IF($O$79="нет","без дифференциации",IF($R$79=0,"",$R$79))</f>
        <v/>
      </c>
      <c r="AM79" s="145" t="str">
        <f>IF($S$79="нет","без дифференциации",IF($V$79=0,"",$V$79))</f>
        <v/>
      </c>
      <c r="AN79" s="145">
        <f>$I$79</f>
        <v>0</v>
      </c>
      <c r="AO79" s="145" t="str">
        <f>$I$79&amp;"."&amp;$M$79</f>
        <v>.</v>
      </c>
      <c r="AP79" s="145" t="str">
        <f>$I$79&amp;"."&amp;$M$79&amp;"."&amp;$Q$79</f>
        <v>..</v>
      </c>
      <c r="AQ79" s="145" t="str">
        <f>$I$79&amp;"."&amp;$M$79&amp;"."&amp;$Q$79&amp;"."&amp;$U$79</f>
        <v>...</v>
      </c>
      <c r="AR79" s="111">
        <v>0</v>
      </c>
    </row>
    <row r="80" spans="4:44" ht="17.25" hidden="1" customHeight="1">
      <c r="D80" s="1021"/>
      <c r="E80" s="1014"/>
      <c r="F80" s="1024"/>
      <c r="G80" s="1014"/>
      <c r="H80" s="1017"/>
      <c r="I80" s="964"/>
      <c r="J80" s="964"/>
      <c r="K80" s="964"/>
      <c r="L80" s="964"/>
      <c r="M80" s="964"/>
      <c r="N80" s="964"/>
      <c r="O80" s="964"/>
      <c r="P80" s="964"/>
      <c r="Q80" s="964"/>
      <c r="R80" s="964"/>
      <c r="S80" s="964"/>
      <c r="W80" s="147"/>
      <c r="AR80" s="111">
        <v>0</v>
      </c>
    </row>
    <row r="81" spans="4:44" ht="17.25" hidden="1" customHeight="1">
      <c r="D81" s="1021"/>
      <c r="E81" s="1014"/>
      <c r="F81" s="1024"/>
      <c r="G81" s="1014"/>
      <c r="H81" s="1017"/>
      <c r="I81" s="964"/>
      <c r="J81" s="964"/>
      <c r="K81" s="964"/>
      <c r="L81" s="964"/>
      <c r="M81" s="964"/>
      <c r="N81" s="964"/>
      <c r="O81" s="964"/>
      <c r="W81" s="147"/>
      <c r="AR81" s="111">
        <v>0</v>
      </c>
    </row>
    <row r="82" spans="4:44" ht="17.25" hidden="1" customHeight="1">
      <c r="D82" s="1021"/>
      <c r="E82" s="1014"/>
      <c r="F82" s="1024"/>
      <c r="G82" s="1014"/>
      <c r="H82" s="1017"/>
      <c r="I82" s="964"/>
      <c r="J82" s="964"/>
      <c r="K82" s="964"/>
      <c r="W82" s="147"/>
      <c r="AR82" s="111">
        <v>0</v>
      </c>
    </row>
    <row r="83" spans="4:44" ht="17.25" hidden="1" customHeight="1">
      <c r="D83" s="1022"/>
      <c r="E83" s="1015"/>
      <c r="F83" s="1025"/>
      <c r="G83" s="1015"/>
      <c r="H83" s="149"/>
      <c r="I83" s="150"/>
      <c r="J83" s="150"/>
      <c r="K83" s="150"/>
      <c r="L83" s="150"/>
      <c r="M83" s="150"/>
      <c r="N83" s="150"/>
      <c r="O83" s="150"/>
      <c r="P83" s="150"/>
      <c r="Q83" s="150"/>
      <c r="R83" s="150"/>
      <c r="S83" s="151"/>
      <c r="T83" s="151"/>
      <c r="U83" s="151"/>
      <c r="V83" s="151"/>
      <c r="W83" s="152"/>
      <c r="AR83" s="111">
        <v>0</v>
      </c>
    </row>
    <row r="84" spans="4:44" ht="17.25" hidden="1" customHeight="1">
      <c r="D84" s="1021">
        <v>2</v>
      </c>
      <c r="E84" s="1014" t="s">
        <v>230</v>
      </c>
      <c r="F84" s="1023" t="s">
        <v>19</v>
      </c>
      <c r="G84" s="1014"/>
      <c r="H84" s="1016"/>
      <c r="I84" s="1018"/>
      <c r="J84" s="1019"/>
      <c r="K84" s="1013"/>
      <c r="L84" s="1013"/>
      <c r="M84" s="1013"/>
      <c r="N84" s="1020"/>
      <c r="O84" s="1013"/>
      <c r="P84" s="1013"/>
      <c r="Q84" s="1013"/>
      <c r="R84" s="1012"/>
      <c r="S84" s="1013"/>
      <c r="T84" s="142"/>
      <c r="U84" s="142"/>
      <c r="V84" s="143"/>
      <c r="W84" s="144"/>
      <c r="AC84" s="145" t="s">
        <v>231</v>
      </c>
      <c r="AD84" s="145" t="s">
        <v>232</v>
      </c>
      <c r="AE84" s="145" t="s">
        <v>233</v>
      </c>
      <c r="AF84" s="145" t="s">
        <v>234</v>
      </c>
      <c r="AH84" s="145" t="str">
        <f>IF($E$84=0,"",$E$84)</f>
        <v>Тариф на техническую воду</v>
      </c>
      <c r="AI84" s="145" t="str">
        <f>IF($G$84=0,"",$G$84)</f>
        <v/>
      </c>
      <c r="AJ84" s="145" t="str">
        <f>IF($J$84=0,"",$J$84)</f>
        <v/>
      </c>
      <c r="AK84" s="145" t="str">
        <f>IF($K$84="нет","без дифференциации",IF($N$84=0,"",$N$84))</f>
        <v/>
      </c>
      <c r="AL84" s="145" t="str">
        <f>IF($O$84="нет","без дифференциации",IF($R$84=0,"",$R$84))</f>
        <v/>
      </c>
      <c r="AM84" s="145" t="str">
        <f>IF($S$84="нет","без дифференциации",IF($V$84=0,"",$V$84))</f>
        <v/>
      </c>
      <c r="AN84" s="153">
        <f>$I$84</f>
        <v>0</v>
      </c>
      <c r="AO84" s="145" t="str">
        <f>$I$84&amp;"."&amp;$M$84</f>
        <v>.</v>
      </c>
      <c r="AP84" s="125" t="str">
        <f>$I$84&amp;"."&amp;$M$84&amp;"."&amp;$Q$84</f>
        <v>..</v>
      </c>
      <c r="AQ84" s="125" t="str">
        <f>$I$84&amp;"."&amp;$M$84&amp;"."&amp;$Q$84&amp;"."&amp;$U$84</f>
        <v>...</v>
      </c>
      <c r="AR84" s="111">
        <v>0</v>
      </c>
    </row>
    <row r="85" spans="4:44" ht="17.25" hidden="1" customHeight="1">
      <c r="D85" s="1021"/>
      <c r="E85" s="1014"/>
      <c r="F85" s="1024"/>
      <c r="G85" s="1014"/>
      <c r="H85" s="1017"/>
      <c r="I85" s="964"/>
      <c r="J85" s="964"/>
      <c r="K85" s="964"/>
      <c r="L85" s="964"/>
      <c r="M85" s="964"/>
      <c r="N85" s="964"/>
      <c r="O85" s="964"/>
      <c r="P85" s="964"/>
      <c r="Q85" s="964"/>
      <c r="R85" s="964"/>
      <c r="S85" s="964"/>
      <c r="W85" s="147"/>
      <c r="AR85" s="111">
        <v>0</v>
      </c>
    </row>
    <row r="86" spans="4:44" ht="17.25" hidden="1" customHeight="1">
      <c r="D86" s="1022"/>
      <c r="E86" s="1015"/>
      <c r="F86" s="1024"/>
      <c r="G86" s="1015"/>
      <c r="H86" s="1017"/>
      <c r="I86" s="964"/>
      <c r="J86" s="964"/>
      <c r="K86" s="964"/>
      <c r="L86" s="964"/>
      <c r="M86" s="964"/>
      <c r="N86" s="964"/>
      <c r="O86" s="964"/>
      <c r="W86" s="147"/>
      <c r="AR86" s="111">
        <v>0</v>
      </c>
    </row>
    <row r="87" spans="4:44" ht="17.25" hidden="1" customHeight="1">
      <c r="D87" s="1022"/>
      <c r="E87" s="1015"/>
      <c r="F87" s="1024"/>
      <c r="G87" s="1015"/>
      <c r="H87" s="1017"/>
      <c r="I87" s="964"/>
      <c r="J87" s="964"/>
      <c r="K87" s="964"/>
      <c r="W87" s="147"/>
      <c r="AR87" s="111">
        <v>0</v>
      </c>
    </row>
    <row r="88" spans="4:44" ht="17.25" hidden="1" customHeight="1">
      <c r="D88" s="1022"/>
      <c r="E88" s="1015"/>
      <c r="F88" s="1025"/>
      <c r="G88" s="1015"/>
      <c r="H88" s="149"/>
      <c r="I88" s="150"/>
      <c r="J88" s="150"/>
      <c r="K88" s="150"/>
      <c r="L88" s="150"/>
      <c r="M88" s="150"/>
      <c r="N88" s="150"/>
      <c r="O88" s="150"/>
      <c r="P88" s="150"/>
      <c r="Q88" s="150"/>
      <c r="R88" s="150"/>
      <c r="S88" s="151"/>
      <c r="T88" s="151"/>
      <c r="U88" s="151"/>
      <c r="V88" s="151"/>
      <c r="W88" s="152"/>
      <c r="AR88" s="111">
        <v>0</v>
      </c>
    </row>
    <row r="89" spans="4:44" ht="17.25" hidden="1" customHeight="1">
      <c r="D89" s="1021">
        <v>3</v>
      </c>
      <c r="E89" s="1014" t="s">
        <v>235</v>
      </c>
      <c r="F89" s="1023" t="s">
        <v>19</v>
      </c>
      <c r="G89" s="1014"/>
      <c r="H89" s="1016"/>
      <c r="I89" s="1018"/>
      <c r="J89" s="1019"/>
      <c r="K89" s="1013"/>
      <c r="L89" s="1013"/>
      <c r="M89" s="1013"/>
      <c r="N89" s="1020"/>
      <c r="O89" s="1013"/>
      <c r="P89" s="1013"/>
      <c r="Q89" s="1013"/>
      <c r="R89" s="1012"/>
      <c r="S89" s="1013"/>
      <c r="T89" s="142"/>
      <c r="U89" s="142"/>
      <c r="V89" s="143"/>
      <c r="W89" s="144"/>
      <c r="AC89" s="145" t="s">
        <v>236</v>
      </c>
      <c r="AD89" s="145" t="s">
        <v>237</v>
      </c>
      <c r="AE89" s="145" t="s">
        <v>238</v>
      </c>
      <c r="AF89" s="145" t="s">
        <v>239</v>
      </c>
      <c r="AH89" s="145" t="str">
        <f>IF($E$89=0,"",$E$89)</f>
        <v>Тариф на транспортировку воды</v>
      </c>
      <c r="AI89" s="145" t="str">
        <f>IF($G$89=0,"",$G$89)</f>
        <v/>
      </c>
      <c r="AJ89" s="145" t="str">
        <f>IF($J$89=0,"",$J$89)</f>
        <v/>
      </c>
      <c r="AK89" s="145" t="str">
        <f>IF($K$89="нет","без дифференциации",IF($N$89=0,"",$N$89))</f>
        <v/>
      </c>
      <c r="AL89" s="145" t="str">
        <f>IF($O$89="нет","без дифференциации",IF($R$89=0,"",$R$89))</f>
        <v/>
      </c>
      <c r="AM89" s="145" t="str">
        <f>IF($S$89="нет","без дифференциации",IF($V$89=0,"",$V$89))</f>
        <v/>
      </c>
      <c r="AN89" s="153">
        <f>$I$89</f>
        <v>0</v>
      </c>
      <c r="AO89" s="145" t="str">
        <f>$I$89&amp;"."&amp;$M$89</f>
        <v>.</v>
      </c>
      <c r="AP89" s="125" t="str">
        <f>$I$89&amp;"."&amp;$M$89&amp;"."&amp;$Q$89</f>
        <v>..</v>
      </c>
      <c r="AQ89" s="125" t="str">
        <f>$I$89&amp;"."&amp;$M$89&amp;"."&amp;$Q$89&amp;"."&amp;$U$89</f>
        <v>...</v>
      </c>
      <c r="AR89" s="111">
        <v>0</v>
      </c>
    </row>
    <row r="90" spans="4:44" ht="17.25" hidden="1" customHeight="1">
      <c r="D90" s="1021"/>
      <c r="E90" s="1014"/>
      <c r="F90" s="1024"/>
      <c r="G90" s="1014"/>
      <c r="H90" s="1017"/>
      <c r="I90" s="964"/>
      <c r="J90" s="964"/>
      <c r="K90" s="964"/>
      <c r="L90" s="964"/>
      <c r="M90" s="964"/>
      <c r="N90" s="964"/>
      <c r="O90" s="964"/>
      <c r="P90" s="964"/>
      <c r="Q90" s="964"/>
      <c r="R90" s="964"/>
      <c r="S90" s="964"/>
      <c r="W90" s="147"/>
      <c r="AR90" s="111">
        <v>0</v>
      </c>
    </row>
    <row r="91" spans="4:44" ht="17.25" hidden="1" customHeight="1">
      <c r="D91" s="1022"/>
      <c r="E91" s="1015"/>
      <c r="F91" s="1024"/>
      <c r="G91" s="1015"/>
      <c r="H91" s="1017"/>
      <c r="I91" s="964"/>
      <c r="J91" s="964"/>
      <c r="K91" s="964"/>
      <c r="L91" s="964"/>
      <c r="M91" s="964"/>
      <c r="N91" s="964"/>
      <c r="O91" s="964"/>
      <c r="W91" s="147"/>
      <c r="AR91" s="111">
        <v>0</v>
      </c>
    </row>
    <row r="92" spans="4:44" ht="17.25" hidden="1" customHeight="1">
      <c r="D92" s="1022"/>
      <c r="E92" s="1015"/>
      <c r="F92" s="1024"/>
      <c r="G92" s="1015"/>
      <c r="H92" s="1017"/>
      <c r="I92" s="964"/>
      <c r="J92" s="964"/>
      <c r="K92" s="964"/>
      <c r="W92" s="147"/>
      <c r="AR92" s="111">
        <v>0</v>
      </c>
    </row>
    <row r="93" spans="4:44" ht="17.25" hidden="1" customHeight="1">
      <c r="D93" s="1022"/>
      <c r="E93" s="1015"/>
      <c r="F93" s="1025"/>
      <c r="G93" s="1015"/>
      <c r="H93" s="149"/>
      <c r="I93" s="150"/>
      <c r="J93" s="150"/>
      <c r="K93" s="150"/>
      <c r="L93" s="150"/>
      <c r="M93" s="150"/>
      <c r="N93" s="150"/>
      <c r="O93" s="150"/>
      <c r="P93" s="150"/>
      <c r="Q93" s="150"/>
      <c r="R93" s="150"/>
      <c r="S93" s="151"/>
      <c r="T93" s="151"/>
      <c r="U93" s="151"/>
      <c r="V93" s="151"/>
      <c r="W93" s="152"/>
      <c r="AR93" s="111">
        <v>0</v>
      </c>
    </row>
    <row r="94" spans="4:44" ht="17.25" hidden="1" customHeight="1">
      <c r="D94" s="1021">
        <v>4</v>
      </c>
      <c r="E94" s="1014" t="s">
        <v>240</v>
      </c>
      <c r="F94" s="1023" t="s">
        <v>19</v>
      </c>
      <c r="G94" s="1014"/>
      <c r="H94" s="1016"/>
      <c r="I94" s="1018"/>
      <c r="J94" s="1019"/>
      <c r="K94" s="1013"/>
      <c r="L94" s="1013"/>
      <c r="M94" s="1013"/>
      <c r="N94" s="1020"/>
      <c r="O94" s="1013"/>
      <c r="P94" s="1013"/>
      <c r="Q94" s="1013"/>
      <c r="R94" s="1012"/>
      <c r="S94" s="1013"/>
      <c r="T94" s="142"/>
      <c r="U94" s="142"/>
      <c r="V94" s="143"/>
      <c r="W94" s="144"/>
      <c r="AC94" s="145" t="s">
        <v>241</v>
      </c>
      <c r="AD94" s="145" t="s">
        <v>242</v>
      </c>
      <c r="AE94" s="145" t="s">
        <v>243</v>
      </c>
      <c r="AF94" s="145" t="s">
        <v>244</v>
      </c>
      <c r="AH94" s="145" t="str">
        <f>IF($E$94=0,"",$E$94)</f>
        <v>Тариф на подвоз воды</v>
      </c>
      <c r="AI94" s="145" t="str">
        <f>IF($G$94=0,"",$G$94)</f>
        <v/>
      </c>
      <c r="AJ94" s="145" t="str">
        <f>IF($J$94=0,"",$J$94)</f>
        <v/>
      </c>
      <c r="AK94" s="145" t="str">
        <f>IF($K$94="нет","без дифференциации",IF($N$94=0,"",$N$94))</f>
        <v/>
      </c>
      <c r="AL94" s="145" t="str">
        <f>IF($O$94="нет","без дифференциации",IF($R$94=0,"",$R$94))</f>
        <v/>
      </c>
      <c r="AM94" s="145" t="str">
        <f>IF($S$94="нет","без дифференциации",IF($V$94=0,"",$V$94))</f>
        <v/>
      </c>
      <c r="AN94" s="153">
        <f>$I$94</f>
        <v>0</v>
      </c>
      <c r="AO94" s="145" t="str">
        <f>$I$94&amp;"."&amp;$M$94</f>
        <v>.</v>
      </c>
      <c r="AP94" s="125" t="str">
        <f>$I$94&amp;"."&amp;$M$94&amp;"."&amp;$Q$94</f>
        <v>..</v>
      </c>
      <c r="AQ94" s="125" t="str">
        <f>$I$94&amp;"."&amp;$M$94&amp;"."&amp;$Q$94&amp;"."&amp;$U$94</f>
        <v>...</v>
      </c>
      <c r="AR94" s="111">
        <v>0</v>
      </c>
    </row>
    <row r="95" spans="4:44" ht="17.25" hidden="1" customHeight="1">
      <c r="D95" s="1021"/>
      <c r="E95" s="1014"/>
      <c r="F95" s="1024"/>
      <c r="G95" s="1014"/>
      <c r="H95" s="1017"/>
      <c r="I95" s="964"/>
      <c r="J95" s="964"/>
      <c r="K95" s="964"/>
      <c r="L95" s="964"/>
      <c r="M95" s="964"/>
      <c r="N95" s="964"/>
      <c r="O95" s="964"/>
      <c r="P95" s="964"/>
      <c r="Q95" s="964"/>
      <c r="R95" s="964"/>
      <c r="S95" s="964"/>
      <c r="W95" s="147"/>
      <c r="AR95" s="111">
        <v>0</v>
      </c>
    </row>
    <row r="96" spans="4:44" ht="17.25" hidden="1" customHeight="1">
      <c r="D96" s="1022"/>
      <c r="E96" s="1015"/>
      <c r="F96" s="1024"/>
      <c r="G96" s="1015"/>
      <c r="H96" s="1017"/>
      <c r="I96" s="964"/>
      <c r="J96" s="964"/>
      <c r="K96" s="964"/>
      <c r="L96" s="964"/>
      <c r="M96" s="964"/>
      <c r="N96" s="964"/>
      <c r="O96" s="964"/>
      <c r="W96" s="147"/>
      <c r="AR96" s="111">
        <v>0</v>
      </c>
    </row>
    <row r="97" spans="4:44" ht="17.25" hidden="1" customHeight="1">
      <c r="D97" s="1022"/>
      <c r="E97" s="1015"/>
      <c r="F97" s="1024"/>
      <c r="G97" s="1015"/>
      <c r="H97" s="1017"/>
      <c r="I97" s="964"/>
      <c r="J97" s="964"/>
      <c r="K97" s="964"/>
      <c r="W97" s="147"/>
      <c r="AR97" s="111">
        <v>0</v>
      </c>
    </row>
    <row r="98" spans="4:44" ht="17.25" hidden="1" customHeight="1">
      <c r="D98" s="1022"/>
      <c r="E98" s="1015"/>
      <c r="F98" s="1025"/>
      <c r="G98" s="1015"/>
      <c r="H98" s="149"/>
      <c r="I98" s="150"/>
      <c r="J98" s="150"/>
      <c r="K98" s="150"/>
      <c r="L98" s="150"/>
      <c r="M98" s="150"/>
      <c r="N98" s="150"/>
      <c r="O98" s="150"/>
      <c r="P98" s="150"/>
      <c r="Q98" s="150"/>
      <c r="R98" s="150"/>
      <c r="S98" s="151"/>
      <c r="T98" s="151"/>
      <c r="U98" s="151"/>
      <c r="V98" s="151"/>
      <c r="W98" s="152"/>
      <c r="AR98" s="111">
        <v>0</v>
      </c>
    </row>
    <row r="99" spans="4:44" ht="17.25" hidden="1" customHeight="1">
      <c r="D99" s="1021">
        <v>5</v>
      </c>
      <c r="E99" s="1014" t="s">
        <v>245</v>
      </c>
      <c r="F99" s="1023" t="s">
        <v>19</v>
      </c>
      <c r="G99" s="1014"/>
      <c r="H99" s="1016"/>
      <c r="I99" s="1018"/>
      <c r="J99" s="1019"/>
      <c r="K99" s="1013"/>
      <c r="L99" s="1013"/>
      <c r="M99" s="1013"/>
      <c r="N99" s="1020"/>
      <c r="O99" s="1013"/>
      <c r="P99" s="1013"/>
      <c r="Q99" s="1013"/>
      <c r="R99" s="1012"/>
      <c r="S99" s="1013"/>
      <c r="T99" s="142"/>
      <c r="U99" s="142"/>
      <c r="V99" s="143"/>
      <c r="W99" s="144"/>
      <c r="AC99" s="145" t="s">
        <v>246</v>
      </c>
      <c r="AD99" s="145" t="s">
        <v>247</v>
      </c>
      <c r="AE99" s="145" t="s">
        <v>248</v>
      </c>
      <c r="AF99" s="145" t="s">
        <v>249</v>
      </c>
      <c r="AH99" s="145" t="str">
        <f>IF($E$99=0,"",$E$99)</f>
        <v>Тариф на подключение (технологическое присоединение) к централизованной системе холодного водоснабжения</v>
      </c>
      <c r="AI99" s="145" t="str">
        <f>IF($G$99=0,"",$G$99)</f>
        <v/>
      </c>
      <c r="AJ99" s="145" t="str">
        <f>IF($J$99=0,"",$J$99)</f>
        <v/>
      </c>
      <c r="AK99" s="145" t="str">
        <f>IF($K$99="нет","без дифференциации",IF($N$99=0,"",$N$99))</f>
        <v/>
      </c>
      <c r="AL99" s="145" t="str">
        <f>IF($O$99="нет","без дифференциации",IF($R$99=0,"",$R$99))</f>
        <v/>
      </c>
      <c r="AM99" s="145" t="str">
        <f>IF($S$99="нет","без дифференциации",IF($V$99=0,"",$V$99))</f>
        <v/>
      </c>
      <c r="AN99" s="153">
        <f>$I$99</f>
        <v>0</v>
      </c>
      <c r="AO99" s="145" t="str">
        <f>$I$99&amp;"."&amp;$M$99</f>
        <v>.</v>
      </c>
      <c r="AP99" s="125" t="str">
        <f>$I$99&amp;"."&amp;$M$99&amp;"."&amp;$Q$99</f>
        <v>..</v>
      </c>
      <c r="AQ99" s="125" t="str">
        <f>$I$99&amp;"."&amp;$M$99&amp;"."&amp;$Q$99&amp;"."&amp;$U$99</f>
        <v>...</v>
      </c>
      <c r="AR99" s="111">
        <v>0</v>
      </c>
    </row>
    <row r="100" spans="4:44" ht="17.25" hidden="1" customHeight="1">
      <c r="D100" s="1021"/>
      <c r="E100" s="1014"/>
      <c r="F100" s="1024"/>
      <c r="G100" s="1014"/>
      <c r="H100" s="1017"/>
      <c r="I100" s="964"/>
      <c r="J100" s="964"/>
      <c r="K100" s="964"/>
      <c r="L100" s="964"/>
      <c r="M100" s="964"/>
      <c r="N100" s="964"/>
      <c r="O100" s="964"/>
      <c r="P100" s="964"/>
      <c r="Q100" s="964"/>
      <c r="R100" s="964"/>
      <c r="S100" s="964"/>
      <c r="W100" s="147"/>
      <c r="AR100" s="111">
        <v>0</v>
      </c>
    </row>
    <row r="101" spans="4:44" ht="17.25" hidden="1" customHeight="1">
      <c r="D101" s="1022"/>
      <c r="E101" s="1015"/>
      <c r="F101" s="1024"/>
      <c r="G101" s="1015"/>
      <c r="H101" s="1017"/>
      <c r="I101" s="964"/>
      <c r="J101" s="964"/>
      <c r="K101" s="964"/>
      <c r="L101" s="964"/>
      <c r="M101" s="964"/>
      <c r="N101" s="964"/>
      <c r="O101" s="964"/>
      <c r="W101" s="147"/>
      <c r="AR101" s="111">
        <v>0</v>
      </c>
    </row>
    <row r="102" spans="4:44" ht="17.25" hidden="1" customHeight="1">
      <c r="D102" s="1022"/>
      <c r="E102" s="1015"/>
      <c r="F102" s="1024"/>
      <c r="G102" s="1015"/>
      <c r="H102" s="1017"/>
      <c r="I102" s="964"/>
      <c r="J102" s="964"/>
      <c r="K102" s="964"/>
      <c r="W102" s="147"/>
      <c r="AR102" s="111">
        <v>0</v>
      </c>
    </row>
    <row r="103" spans="4:44" ht="17.25" hidden="1" customHeight="1">
      <c r="D103" s="1022"/>
      <c r="E103" s="1015"/>
      <c r="F103" s="1025"/>
      <c r="G103" s="1015"/>
      <c r="H103" s="149"/>
      <c r="I103" s="150"/>
      <c r="J103" s="150"/>
      <c r="K103" s="150"/>
      <c r="L103" s="150"/>
      <c r="M103" s="150"/>
      <c r="N103" s="150"/>
      <c r="O103" s="150"/>
      <c r="P103" s="150"/>
      <c r="Q103" s="150"/>
      <c r="R103" s="150"/>
      <c r="S103" s="151"/>
      <c r="T103" s="151"/>
      <c r="U103" s="151"/>
      <c r="V103" s="151"/>
      <c r="W103" s="152"/>
      <c r="AR103" s="111">
        <v>0</v>
      </c>
    </row>
    <row r="104" spans="4:44" ht="11.25" hidden="1" customHeight="1">
      <c r="AR104" s="111">
        <v>0</v>
      </c>
    </row>
    <row r="105" spans="4:44" ht="17.25" hidden="1" customHeight="1">
      <c r="D105" s="1021">
        <v>1</v>
      </c>
      <c r="E105" s="1014" t="s">
        <v>250</v>
      </c>
      <c r="F105" s="1023" t="s">
        <v>19</v>
      </c>
      <c r="G105" s="1014"/>
      <c r="H105" s="1016"/>
      <c r="I105" s="1018"/>
      <c r="J105" s="1019"/>
      <c r="K105" s="1013"/>
      <c r="L105" s="1013"/>
      <c r="M105" s="1013"/>
      <c r="N105" s="1020"/>
      <c r="O105" s="1013"/>
      <c r="P105" s="1013"/>
      <c r="Q105" s="1013"/>
      <c r="R105" s="1012"/>
      <c r="S105" s="1013"/>
      <c r="T105" s="142"/>
      <c r="U105" s="142"/>
      <c r="V105" s="143"/>
      <c r="W105" s="144"/>
      <c r="AC105" s="145" t="s">
        <v>251</v>
      </c>
      <c r="AD105" s="145" t="s">
        <v>252</v>
      </c>
      <c r="AE105" s="145" t="s">
        <v>253</v>
      </c>
      <c r="AF105" s="145" t="s">
        <v>254</v>
      </c>
      <c r="AH105" s="145" t="str">
        <f>IF($E$105=0,"",$E$105)</f>
        <v>Тариф на горячую воду (горячее водоснабжение)</v>
      </c>
      <c r="AI105" s="145" t="str">
        <f>IF($G$105=0,"",$G$105)</f>
        <v/>
      </c>
      <c r="AJ105" s="145" t="str">
        <f>IF($J$105=0,"",$J$105)</f>
        <v/>
      </c>
      <c r="AK105" s="145" t="str">
        <f>IF($K$105="нет","без дифференциации",IF($N$105=0,"",$N$105))</f>
        <v/>
      </c>
      <c r="AL105" s="145" t="str">
        <f>IF($O$105="нет","без дифференциации",IF($R$105=0,"",$R$105))</f>
        <v/>
      </c>
      <c r="AM105" s="145" t="str">
        <f>IF($S$105="нет","без дифференциации",IF($V$105=0,"",$V$105))</f>
        <v/>
      </c>
      <c r="AN105" s="145">
        <f>$I$105</f>
        <v>0</v>
      </c>
      <c r="AO105" s="145" t="str">
        <f>$I$105&amp;"."&amp;$M$105</f>
        <v>.</v>
      </c>
      <c r="AP105" s="145" t="str">
        <f>$I$105&amp;"."&amp;$M$105&amp;"."&amp;$Q$105</f>
        <v>..</v>
      </c>
      <c r="AQ105" s="145" t="str">
        <f>$I$105&amp;"."&amp;$M$105&amp;"."&amp;$Q$105&amp;"."&amp;$U$105</f>
        <v>...</v>
      </c>
      <c r="AR105" s="111">
        <v>0</v>
      </c>
    </row>
    <row r="106" spans="4:44" ht="17.25" hidden="1" customHeight="1">
      <c r="D106" s="1021"/>
      <c r="E106" s="1014"/>
      <c r="F106" s="1024"/>
      <c r="G106" s="1014"/>
      <c r="H106" s="1017"/>
      <c r="I106" s="964"/>
      <c r="J106" s="964"/>
      <c r="K106" s="964"/>
      <c r="L106" s="964"/>
      <c r="M106" s="964"/>
      <c r="N106" s="964"/>
      <c r="O106" s="964"/>
      <c r="P106" s="964"/>
      <c r="Q106" s="964"/>
      <c r="R106" s="964"/>
      <c r="S106" s="964"/>
      <c r="W106" s="147"/>
      <c r="AR106" s="111">
        <v>0</v>
      </c>
    </row>
    <row r="107" spans="4:44" ht="17.25" hidden="1" customHeight="1">
      <c r="D107" s="1021"/>
      <c r="E107" s="1014"/>
      <c r="F107" s="1024"/>
      <c r="G107" s="1014"/>
      <c r="H107" s="1017"/>
      <c r="I107" s="964"/>
      <c r="J107" s="964"/>
      <c r="K107" s="964"/>
      <c r="L107" s="964"/>
      <c r="M107" s="964"/>
      <c r="N107" s="964"/>
      <c r="O107" s="964"/>
      <c r="W107" s="147"/>
      <c r="AR107" s="111">
        <v>0</v>
      </c>
    </row>
    <row r="108" spans="4:44" ht="17.25" hidden="1" customHeight="1">
      <c r="D108" s="1021"/>
      <c r="E108" s="1014"/>
      <c r="F108" s="1024"/>
      <c r="G108" s="1014"/>
      <c r="H108" s="1017"/>
      <c r="I108" s="964"/>
      <c r="J108" s="964"/>
      <c r="K108" s="964"/>
      <c r="W108" s="147"/>
      <c r="AR108" s="111">
        <v>0</v>
      </c>
    </row>
    <row r="109" spans="4:44" ht="17.25" hidden="1" customHeight="1">
      <c r="D109" s="1022"/>
      <c r="E109" s="1015"/>
      <c r="F109" s="1025"/>
      <c r="G109" s="1015"/>
      <c r="H109" s="149"/>
      <c r="I109" s="150"/>
      <c r="J109" s="150"/>
      <c r="K109" s="150"/>
      <c r="L109" s="150"/>
      <c r="M109" s="150"/>
      <c r="N109" s="150"/>
      <c r="O109" s="150"/>
      <c r="P109" s="150"/>
      <c r="Q109" s="150"/>
      <c r="R109" s="150"/>
      <c r="S109" s="151"/>
      <c r="T109" s="151"/>
      <c r="U109" s="151"/>
      <c r="V109" s="151"/>
      <c r="W109" s="152"/>
      <c r="AR109" s="111">
        <v>0</v>
      </c>
    </row>
    <row r="110" spans="4:44" ht="17.25" hidden="1" customHeight="1">
      <c r="D110" s="1021">
        <v>2</v>
      </c>
      <c r="E110" s="1014" t="s">
        <v>255</v>
      </c>
      <c r="F110" s="1023" t="s">
        <v>19</v>
      </c>
      <c r="G110" s="1014"/>
      <c r="H110" s="1016"/>
      <c r="I110" s="1018"/>
      <c r="J110" s="1019"/>
      <c r="K110" s="1013"/>
      <c r="L110" s="1013"/>
      <c r="M110" s="1013"/>
      <c r="N110" s="1020"/>
      <c r="O110" s="1013"/>
      <c r="P110" s="1013"/>
      <c r="Q110" s="1013"/>
      <c r="R110" s="1012"/>
      <c r="S110" s="1013"/>
      <c r="T110" s="142"/>
      <c r="U110" s="142"/>
      <c r="V110" s="143"/>
      <c r="W110" s="144"/>
      <c r="AC110" s="145" t="s">
        <v>256</v>
      </c>
      <c r="AD110" s="145" t="s">
        <v>257</v>
      </c>
      <c r="AE110" s="145" t="s">
        <v>258</v>
      </c>
      <c r="AF110" s="145" t="s">
        <v>259</v>
      </c>
      <c r="AH110" s="145" t="str">
        <f>IF($E$110=0,"",$E$110)</f>
        <v>Тариф на транспортировку горячей воды</v>
      </c>
      <c r="AI110" s="145" t="str">
        <f>IF($G$110=0,"",$G$110)</f>
        <v/>
      </c>
      <c r="AJ110" s="145" t="str">
        <f>IF($J$110=0,"",$J$110)</f>
        <v/>
      </c>
      <c r="AK110" s="145" t="str">
        <f>IF($K$110="нет","без дифференциации",IF($N$110=0,"",$N$110))</f>
        <v/>
      </c>
      <c r="AL110" s="145" t="str">
        <f>IF($O$110="нет","без дифференциации",IF($R$110=0,"",$R$110))</f>
        <v/>
      </c>
      <c r="AM110" s="145" t="str">
        <f>IF($S$110="нет","без дифференциации",IF($V$110=0,"",$V$110))</f>
        <v/>
      </c>
      <c r="AN110" s="153">
        <f>$I$110</f>
        <v>0</v>
      </c>
      <c r="AO110" s="145" t="str">
        <f>$I$110&amp;"."&amp;$M$110</f>
        <v>.</v>
      </c>
      <c r="AP110" s="125" t="str">
        <f>$I$110&amp;"."&amp;$M$110&amp;"."&amp;$Q$110</f>
        <v>..</v>
      </c>
      <c r="AQ110" s="125" t="str">
        <f>$I$110&amp;"."&amp;$M$110&amp;"."&amp;$Q$110&amp;"."&amp;$U$110</f>
        <v>...</v>
      </c>
      <c r="AR110" s="111">
        <v>0</v>
      </c>
    </row>
    <row r="111" spans="4:44" ht="17.25" hidden="1" customHeight="1">
      <c r="D111" s="1021"/>
      <c r="E111" s="1014"/>
      <c r="F111" s="1024"/>
      <c r="G111" s="1014"/>
      <c r="H111" s="1017"/>
      <c r="I111" s="964"/>
      <c r="J111" s="964"/>
      <c r="K111" s="964"/>
      <c r="L111" s="964"/>
      <c r="M111" s="964"/>
      <c r="N111" s="964"/>
      <c r="O111" s="964"/>
      <c r="P111" s="964"/>
      <c r="Q111" s="964"/>
      <c r="R111" s="964"/>
      <c r="S111" s="964"/>
      <c r="W111" s="147"/>
      <c r="AR111" s="111">
        <v>0</v>
      </c>
    </row>
    <row r="112" spans="4:44" ht="17.25" hidden="1" customHeight="1">
      <c r="D112" s="1022"/>
      <c r="E112" s="1015"/>
      <c r="F112" s="1024"/>
      <c r="G112" s="1015"/>
      <c r="H112" s="1017"/>
      <c r="I112" s="964"/>
      <c r="J112" s="964"/>
      <c r="K112" s="964"/>
      <c r="L112" s="964"/>
      <c r="M112" s="964"/>
      <c r="N112" s="964"/>
      <c r="O112" s="964"/>
      <c r="W112" s="147"/>
      <c r="AR112" s="111">
        <v>0</v>
      </c>
    </row>
    <row r="113" spans="4:44" ht="17.25" hidden="1" customHeight="1">
      <c r="D113" s="1022"/>
      <c r="E113" s="1015"/>
      <c r="F113" s="1024"/>
      <c r="G113" s="1015"/>
      <c r="H113" s="1017"/>
      <c r="I113" s="964"/>
      <c r="J113" s="964"/>
      <c r="K113" s="964"/>
      <c r="W113" s="147"/>
      <c r="AR113" s="111">
        <v>0</v>
      </c>
    </row>
    <row r="114" spans="4:44" ht="17.25" hidden="1" customHeight="1">
      <c r="D114" s="1022"/>
      <c r="E114" s="1015"/>
      <c r="F114" s="1025"/>
      <c r="G114" s="1015"/>
      <c r="H114" s="149"/>
      <c r="I114" s="150"/>
      <c r="J114" s="150"/>
      <c r="K114" s="150"/>
      <c r="L114" s="150"/>
      <c r="M114" s="150"/>
      <c r="N114" s="150"/>
      <c r="O114" s="150"/>
      <c r="P114" s="150"/>
      <c r="Q114" s="150"/>
      <c r="R114" s="150"/>
      <c r="S114" s="151"/>
      <c r="T114" s="151"/>
      <c r="U114" s="151"/>
      <c r="V114" s="151"/>
      <c r="W114" s="152"/>
      <c r="AR114" s="111">
        <v>0</v>
      </c>
    </row>
    <row r="115" spans="4:44" ht="17.25" hidden="1" customHeight="1">
      <c r="D115" s="1021">
        <v>3</v>
      </c>
      <c r="E115" s="1014" t="s">
        <v>260</v>
      </c>
      <c r="F115" s="1023" t="s">
        <v>19</v>
      </c>
      <c r="G115" s="1014"/>
      <c r="H115" s="1016"/>
      <c r="I115" s="1018"/>
      <c r="J115" s="1019"/>
      <c r="K115" s="1013"/>
      <c r="L115" s="1013"/>
      <c r="M115" s="1013"/>
      <c r="N115" s="1020"/>
      <c r="O115" s="1013"/>
      <c r="P115" s="1013"/>
      <c r="Q115" s="1013"/>
      <c r="R115" s="1012"/>
      <c r="S115" s="1013"/>
      <c r="T115" s="142"/>
      <c r="U115" s="142"/>
      <c r="V115" s="143"/>
      <c r="W115" s="144"/>
      <c r="AC115" s="145" t="s">
        <v>261</v>
      </c>
      <c r="AD115" s="145" t="s">
        <v>262</v>
      </c>
      <c r="AE115" s="145" t="s">
        <v>263</v>
      </c>
      <c r="AF115" s="145" t="s">
        <v>264</v>
      </c>
      <c r="AH115" s="145" t="str">
        <f>IF($E$115=0,"",$E$115)</f>
        <v>Тариф на подключение (технологическое присоединение) к централизованной системе горячего водоснабжения</v>
      </c>
      <c r="AI115" s="145" t="str">
        <f>IF($G$115=0,"",$G$115)</f>
        <v/>
      </c>
      <c r="AJ115" s="145" t="str">
        <f>IF($J$115=0,"",$J$115)</f>
        <v/>
      </c>
      <c r="AK115" s="145" t="str">
        <f>IF($K$115="нет","без дифференциации",IF($N$115=0,"",$N$115))</f>
        <v/>
      </c>
      <c r="AL115" s="145" t="str">
        <f>IF($O$115="нет","без дифференциации",IF($R$115=0,"",$R$115))</f>
        <v/>
      </c>
      <c r="AM115" s="145" t="str">
        <f>IF($S$115="нет","без дифференциации",IF($V$115=0,"",$V$115))</f>
        <v/>
      </c>
      <c r="AN115" s="153">
        <f>$I$115</f>
        <v>0</v>
      </c>
      <c r="AO115" s="145" t="str">
        <f>$I$115&amp;"."&amp;$M$115</f>
        <v>.</v>
      </c>
      <c r="AP115" s="125" t="str">
        <f>$I$115&amp;"."&amp;$M$115&amp;"."&amp;$Q$115</f>
        <v>..</v>
      </c>
      <c r="AQ115" s="125" t="str">
        <f>$I$115&amp;"."&amp;$M$115&amp;"."&amp;$Q$115&amp;"."&amp;$U$115</f>
        <v>...</v>
      </c>
      <c r="AR115" s="111">
        <v>0</v>
      </c>
    </row>
    <row r="116" spans="4:44" ht="17.25" hidden="1" customHeight="1">
      <c r="D116" s="1021"/>
      <c r="E116" s="1014"/>
      <c r="F116" s="1024"/>
      <c r="G116" s="1014"/>
      <c r="H116" s="1017"/>
      <c r="I116" s="964"/>
      <c r="J116" s="964"/>
      <c r="K116" s="964"/>
      <c r="L116" s="964"/>
      <c r="M116" s="964"/>
      <c r="N116" s="964"/>
      <c r="O116" s="964"/>
      <c r="P116" s="964"/>
      <c r="Q116" s="964"/>
      <c r="R116" s="964"/>
      <c r="S116" s="964"/>
      <c r="W116" s="147"/>
      <c r="AR116" s="111">
        <v>0</v>
      </c>
    </row>
    <row r="117" spans="4:44" ht="17.25" hidden="1" customHeight="1">
      <c r="D117" s="1022"/>
      <c r="E117" s="1015"/>
      <c r="F117" s="1024"/>
      <c r="G117" s="1015"/>
      <c r="H117" s="1017"/>
      <c r="I117" s="964"/>
      <c r="J117" s="964"/>
      <c r="K117" s="964"/>
      <c r="L117" s="964"/>
      <c r="M117" s="964"/>
      <c r="N117" s="964"/>
      <c r="O117" s="964"/>
      <c r="W117" s="147"/>
      <c r="AR117" s="111">
        <v>0</v>
      </c>
    </row>
    <row r="118" spans="4:44" ht="17.25" hidden="1" customHeight="1">
      <c r="D118" s="1022"/>
      <c r="E118" s="1015"/>
      <c r="F118" s="1024"/>
      <c r="G118" s="1015"/>
      <c r="H118" s="1017"/>
      <c r="I118" s="964"/>
      <c r="J118" s="964"/>
      <c r="K118" s="964"/>
      <c r="W118" s="147"/>
      <c r="AR118" s="111">
        <v>0</v>
      </c>
    </row>
    <row r="119" spans="4:44" ht="17.25" hidden="1" customHeight="1">
      <c r="D119" s="1022"/>
      <c r="E119" s="1015"/>
      <c r="F119" s="1025"/>
      <c r="G119" s="1015"/>
      <c r="H119" s="149"/>
      <c r="I119" s="150"/>
      <c r="J119" s="150"/>
      <c r="K119" s="150"/>
      <c r="L119" s="150"/>
      <c r="M119" s="150"/>
      <c r="N119" s="150"/>
      <c r="O119" s="150"/>
      <c r="P119" s="150"/>
      <c r="Q119" s="150"/>
      <c r="R119" s="150"/>
      <c r="S119" s="151"/>
      <c r="T119" s="151"/>
      <c r="U119" s="151"/>
      <c r="V119" s="151"/>
      <c r="W119" s="152"/>
      <c r="AR119" s="111">
        <v>0</v>
      </c>
    </row>
    <row r="120" spans="4:44" ht="11.25" hidden="1" customHeight="1">
      <c r="AR120" s="111">
        <v>0</v>
      </c>
    </row>
    <row r="121" spans="4:44" ht="17.25" hidden="1" customHeight="1">
      <c r="D121" s="1021">
        <v>1</v>
      </c>
      <c r="E121" s="1014" t="s">
        <v>265</v>
      </c>
      <c r="F121" s="1023" t="s">
        <v>19</v>
      </c>
      <c r="G121" s="1014"/>
      <c r="H121" s="1016"/>
      <c r="I121" s="1018"/>
      <c r="J121" s="1019"/>
      <c r="K121" s="1013"/>
      <c r="L121" s="1013"/>
      <c r="M121" s="1013"/>
      <c r="N121" s="1020"/>
      <c r="O121" s="1013"/>
      <c r="P121" s="1013"/>
      <c r="Q121" s="1013"/>
      <c r="R121" s="1012"/>
      <c r="S121" s="1013"/>
      <c r="T121" s="142"/>
      <c r="U121" s="142"/>
      <c r="V121" s="143"/>
      <c r="W121" s="144"/>
      <c r="AC121" s="145" t="s">
        <v>266</v>
      </c>
      <c r="AD121" s="145" t="s">
        <v>267</v>
      </c>
      <c r="AE121" s="145" t="s">
        <v>268</v>
      </c>
      <c r="AF121" s="145" t="s">
        <v>269</v>
      </c>
      <c r="AH121" s="145" t="str">
        <f>IF($E$121=0,"",$E$121)</f>
        <v>Тариф на водоотведение</v>
      </c>
      <c r="AI121" s="145" t="str">
        <f>IF($G$121=0,"",$G$121)</f>
        <v/>
      </c>
      <c r="AJ121" s="145" t="str">
        <f>IF($J$121=0,"",$J$121)</f>
        <v/>
      </c>
      <c r="AK121" s="145" t="str">
        <f>IF($K$121="нет","без дифференциации",IF($N$121=0,"",$N$121))</f>
        <v/>
      </c>
      <c r="AL121" s="145" t="str">
        <f>IF($O$121="нет","без дифференциации",IF($R$121=0,"",$R$121))</f>
        <v/>
      </c>
      <c r="AM121" s="145" t="str">
        <f>IF($S$121="нет","без дифференциации",IF($V$121=0,"",$V$121))</f>
        <v/>
      </c>
      <c r="AN121" s="145">
        <f>$I$121</f>
        <v>0</v>
      </c>
      <c r="AO121" s="145" t="str">
        <f>$I$121&amp;"."&amp;$M$121</f>
        <v>.</v>
      </c>
      <c r="AP121" s="145" t="str">
        <f>$I$121&amp;"."&amp;$M$121&amp;"."&amp;$Q$121</f>
        <v>..</v>
      </c>
      <c r="AQ121" s="145" t="str">
        <f>$I$121&amp;"."&amp;$M$121&amp;"."&amp;$Q$121&amp;"."&amp;$U$121</f>
        <v>...</v>
      </c>
      <c r="AR121" s="111">
        <v>0</v>
      </c>
    </row>
    <row r="122" spans="4:44" ht="17.25" hidden="1" customHeight="1">
      <c r="D122" s="1021"/>
      <c r="E122" s="1014"/>
      <c r="F122" s="1024"/>
      <c r="G122" s="1014"/>
      <c r="H122" s="1017"/>
      <c r="I122" s="964"/>
      <c r="J122" s="964"/>
      <c r="K122" s="964"/>
      <c r="L122" s="964"/>
      <c r="M122" s="964"/>
      <c r="N122" s="964"/>
      <c r="O122" s="964"/>
      <c r="P122" s="964"/>
      <c r="Q122" s="964"/>
      <c r="R122" s="964"/>
      <c r="S122" s="964"/>
      <c r="W122" s="147"/>
      <c r="AR122" s="111">
        <v>0</v>
      </c>
    </row>
    <row r="123" spans="4:44" ht="17.25" hidden="1" customHeight="1">
      <c r="D123" s="1021"/>
      <c r="E123" s="1014"/>
      <c r="F123" s="1024"/>
      <c r="G123" s="1014"/>
      <c r="H123" s="1017"/>
      <c r="I123" s="964"/>
      <c r="J123" s="964"/>
      <c r="K123" s="964"/>
      <c r="L123" s="964"/>
      <c r="M123" s="964"/>
      <c r="N123" s="964"/>
      <c r="O123" s="964"/>
      <c r="W123" s="147"/>
      <c r="AR123" s="111">
        <v>0</v>
      </c>
    </row>
    <row r="124" spans="4:44" ht="17.25" hidden="1" customHeight="1">
      <c r="D124" s="1021"/>
      <c r="E124" s="1014"/>
      <c r="F124" s="1024"/>
      <c r="G124" s="1014"/>
      <c r="H124" s="1017"/>
      <c r="I124" s="964"/>
      <c r="J124" s="964"/>
      <c r="K124" s="964"/>
      <c r="W124" s="147"/>
      <c r="AR124" s="111">
        <v>0</v>
      </c>
    </row>
    <row r="125" spans="4:44" ht="17.25" hidden="1" customHeight="1">
      <c r="D125" s="1022"/>
      <c r="E125" s="1015"/>
      <c r="F125" s="1025"/>
      <c r="G125" s="1015"/>
      <c r="H125" s="149"/>
      <c r="I125" s="150"/>
      <c r="J125" s="150"/>
      <c r="K125" s="150"/>
      <c r="L125" s="150"/>
      <c r="M125" s="150"/>
      <c r="N125" s="150"/>
      <c r="O125" s="150"/>
      <c r="P125" s="150"/>
      <c r="Q125" s="150"/>
      <c r="R125" s="150"/>
      <c r="S125" s="151"/>
      <c r="T125" s="151"/>
      <c r="U125" s="151"/>
      <c r="V125" s="151"/>
      <c r="W125" s="152"/>
      <c r="AR125" s="111">
        <v>0</v>
      </c>
    </row>
    <row r="126" spans="4:44" ht="17.25" hidden="1" customHeight="1">
      <c r="D126" s="1021">
        <v>2</v>
      </c>
      <c r="E126" s="1014" t="s">
        <v>270</v>
      </c>
      <c r="F126" s="1023" t="s">
        <v>19</v>
      </c>
      <c r="G126" s="1014"/>
      <c r="H126" s="1016"/>
      <c r="I126" s="1018"/>
      <c r="J126" s="1019"/>
      <c r="K126" s="1013"/>
      <c r="L126" s="1013"/>
      <c r="M126" s="1013"/>
      <c r="N126" s="1020"/>
      <c r="O126" s="1013"/>
      <c r="P126" s="1013"/>
      <c r="Q126" s="1013"/>
      <c r="R126" s="1012"/>
      <c r="S126" s="1013"/>
      <c r="T126" s="142"/>
      <c r="U126" s="142"/>
      <c r="V126" s="143"/>
      <c r="W126" s="144"/>
      <c r="AC126" s="145" t="s">
        <v>271</v>
      </c>
      <c r="AD126" s="145" t="s">
        <v>272</v>
      </c>
      <c r="AE126" s="145" t="s">
        <v>273</v>
      </c>
      <c r="AF126" s="145" t="s">
        <v>274</v>
      </c>
      <c r="AH126" s="145" t="str">
        <f>IF($E$126=0,"",$E$126)</f>
        <v>Тариф на транспортировку сточных вод</v>
      </c>
      <c r="AI126" s="145" t="str">
        <f>IF($G$126=0,"",$G$126)</f>
        <v/>
      </c>
      <c r="AJ126" s="145" t="str">
        <f>IF($J$126=0,"",$J$126)</f>
        <v/>
      </c>
      <c r="AK126" s="145" t="str">
        <f>IF($K$126="нет","без дифференциации",IF($N$126=0,"",$N$126))</f>
        <v/>
      </c>
      <c r="AL126" s="145" t="str">
        <f>IF($O$126="нет","без дифференциации",IF($R$126=0,"",$R$126))</f>
        <v/>
      </c>
      <c r="AM126" s="145" t="str">
        <f>IF($S$126="нет","без дифференциации",IF($V$126=0,"",$V$126))</f>
        <v/>
      </c>
      <c r="AN126" s="153">
        <f>$I$126</f>
        <v>0</v>
      </c>
      <c r="AO126" s="145" t="str">
        <f>$I$126&amp;"."&amp;$M$126</f>
        <v>.</v>
      </c>
      <c r="AP126" s="125" t="str">
        <f>$I$126&amp;"."&amp;$M$126&amp;"."&amp;$Q$126</f>
        <v>..</v>
      </c>
      <c r="AQ126" s="125" t="str">
        <f>$I$126&amp;"."&amp;$M$126&amp;"."&amp;$Q$126&amp;"."&amp;$U$126</f>
        <v>...</v>
      </c>
      <c r="AR126" s="111">
        <v>0</v>
      </c>
    </row>
    <row r="127" spans="4:44" ht="17.25" hidden="1" customHeight="1">
      <c r="D127" s="1021"/>
      <c r="E127" s="1014"/>
      <c r="F127" s="1024"/>
      <c r="G127" s="1014"/>
      <c r="H127" s="1017"/>
      <c r="I127" s="964"/>
      <c r="J127" s="964"/>
      <c r="K127" s="964"/>
      <c r="L127" s="964"/>
      <c r="M127" s="964"/>
      <c r="N127" s="964"/>
      <c r="O127" s="964"/>
      <c r="P127" s="964"/>
      <c r="Q127" s="964"/>
      <c r="R127" s="964"/>
      <c r="S127" s="964"/>
      <c r="W127" s="147"/>
      <c r="AR127" s="111">
        <v>0</v>
      </c>
    </row>
    <row r="128" spans="4:44" ht="17.25" hidden="1" customHeight="1">
      <c r="D128" s="1022"/>
      <c r="E128" s="1015"/>
      <c r="F128" s="1024"/>
      <c r="G128" s="1015"/>
      <c r="H128" s="1017"/>
      <c r="I128" s="964"/>
      <c r="J128" s="964"/>
      <c r="K128" s="964"/>
      <c r="L128" s="964"/>
      <c r="M128" s="964"/>
      <c r="N128" s="964"/>
      <c r="O128" s="964"/>
      <c r="W128" s="147"/>
      <c r="AR128" s="111">
        <v>0</v>
      </c>
    </row>
    <row r="129" spans="4:44" ht="17.25" hidden="1" customHeight="1">
      <c r="D129" s="1022"/>
      <c r="E129" s="1015"/>
      <c r="F129" s="1024"/>
      <c r="G129" s="1015"/>
      <c r="H129" s="1017"/>
      <c r="I129" s="964"/>
      <c r="J129" s="964"/>
      <c r="K129" s="964"/>
      <c r="W129" s="147"/>
      <c r="AR129" s="111">
        <v>0</v>
      </c>
    </row>
    <row r="130" spans="4:44" ht="17.25" hidden="1" customHeight="1">
      <c r="D130" s="1022"/>
      <c r="E130" s="1015"/>
      <c r="F130" s="1025"/>
      <c r="G130" s="1015"/>
      <c r="H130" s="149"/>
      <c r="I130" s="150"/>
      <c r="J130" s="150"/>
      <c r="K130" s="150"/>
      <c r="L130" s="150"/>
      <c r="M130" s="150"/>
      <c r="N130" s="150"/>
      <c r="O130" s="150"/>
      <c r="P130" s="150"/>
      <c r="Q130" s="150"/>
      <c r="R130" s="150"/>
      <c r="S130" s="151"/>
      <c r="T130" s="151"/>
      <c r="U130" s="151"/>
      <c r="V130" s="151"/>
      <c r="W130" s="152"/>
      <c r="AR130" s="111">
        <v>0</v>
      </c>
    </row>
    <row r="131" spans="4:44" ht="17.25" hidden="1" customHeight="1">
      <c r="D131" s="1021">
        <v>3</v>
      </c>
      <c r="E131" s="1014" t="s">
        <v>275</v>
      </c>
      <c r="F131" s="1023" t="s">
        <v>19</v>
      </c>
      <c r="G131" s="1014"/>
      <c r="H131" s="1016"/>
      <c r="I131" s="1018"/>
      <c r="J131" s="1019"/>
      <c r="K131" s="1013"/>
      <c r="L131" s="1013"/>
      <c r="M131" s="1013"/>
      <c r="N131" s="1020"/>
      <c r="O131" s="1013"/>
      <c r="P131" s="1013"/>
      <c r="Q131" s="1013"/>
      <c r="R131" s="1012"/>
      <c r="S131" s="1013"/>
      <c r="T131" s="142"/>
      <c r="U131" s="142"/>
      <c r="V131" s="143"/>
      <c r="W131" s="144"/>
      <c r="AC131" s="145" t="s">
        <v>276</v>
      </c>
      <c r="AD131" s="145" t="s">
        <v>277</v>
      </c>
      <c r="AE131" s="145" t="s">
        <v>278</v>
      </c>
      <c r="AF131" s="145" t="s">
        <v>279</v>
      </c>
      <c r="AH131" s="145" t="str">
        <f>IF($E$131=0,"",$E$131)</f>
        <v>Тариф на подключение (технологическое присоединение) к централизованной системе водоотведения</v>
      </c>
      <c r="AI131" s="145" t="str">
        <f>IF($G$131=0,"",$G$131)</f>
        <v/>
      </c>
      <c r="AJ131" s="145" t="str">
        <f>IF($J$131=0,"",$J$131)</f>
        <v/>
      </c>
      <c r="AK131" s="145" t="str">
        <f>IF($K$131="нет","без дифференциации",IF($N$131=0,"",$N$131))</f>
        <v/>
      </c>
      <c r="AL131" s="145" t="str">
        <f>IF($O$131="нет","без дифференциации",IF($R$131=0,"",$R$131))</f>
        <v/>
      </c>
      <c r="AM131" s="145" t="str">
        <f>IF($S$131="нет","без дифференциации",IF($V$131=0,"",$V$131))</f>
        <v/>
      </c>
      <c r="AN131" s="153">
        <f>$I$131</f>
        <v>0</v>
      </c>
      <c r="AO131" s="145" t="str">
        <f>$I$131&amp;"."&amp;$M$131</f>
        <v>.</v>
      </c>
      <c r="AP131" s="125" t="str">
        <f>$I$131&amp;"."&amp;$M$131&amp;"."&amp;$Q$131</f>
        <v>..</v>
      </c>
      <c r="AQ131" s="125" t="str">
        <f>$I$131&amp;"."&amp;$M$131&amp;"."&amp;$Q$131&amp;"."&amp;$U$131</f>
        <v>...</v>
      </c>
      <c r="AR131" s="111">
        <v>0</v>
      </c>
    </row>
    <row r="132" spans="4:44" ht="17.25" hidden="1" customHeight="1">
      <c r="D132" s="1021"/>
      <c r="E132" s="1014"/>
      <c r="F132" s="1024"/>
      <c r="G132" s="1014"/>
      <c r="H132" s="1017"/>
      <c r="I132" s="964"/>
      <c r="J132" s="964"/>
      <c r="K132" s="964"/>
      <c r="L132" s="964"/>
      <c r="M132" s="964"/>
      <c r="N132" s="964"/>
      <c r="O132" s="964"/>
      <c r="P132" s="964"/>
      <c r="Q132" s="964"/>
      <c r="R132" s="964"/>
      <c r="S132" s="964"/>
      <c r="W132" s="147"/>
      <c r="AR132" s="111">
        <v>0</v>
      </c>
    </row>
    <row r="133" spans="4:44" ht="17.25" hidden="1" customHeight="1">
      <c r="D133" s="1022"/>
      <c r="E133" s="1015"/>
      <c r="F133" s="1024"/>
      <c r="G133" s="1015"/>
      <c r="H133" s="1017"/>
      <c r="I133" s="964"/>
      <c r="J133" s="964"/>
      <c r="K133" s="964"/>
      <c r="L133" s="964"/>
      <c r="M133" s="964"/>
      <c r="N133" s="964"/>
      <c r="O133" s="964"/>
      <c r="W133" s="147"/>
      <c r="AR133" s="111">
        <v>0</v>
      </c>
    </row>
    <row r="134" spans="4:44" ht="17.25" hidden="1" customHeight="1">
      <c r="D134" s="1022"/>
      <c r="E134" s="1015"/>
      <c r="F134" s="1024"/>
      <c r="G134" s="1015"/>
      <c r="H134" s="1017"/>
      <c r="I134" s="964"/>
      <c r="J134" s="964"/>
      <c r="K134" s="964"/>
      <c r="W134" s="147"/>
      <c r="AR134" s="111">
        <v>0</v>
      </c>
    </row>
    <row r="135" spans="4:44" ht="17.25" hidden="1" customHeight="1">
      <c r="D135" s="1022"/>
      <c r="E135" s="1015"/>
      <c r="F135" s="1025"/>
      <c r="G135" s="1015"/>
      <c r="H135" s="149"/>
      <c r="I135" s="150"/>
      <c r="J135" s="150"/>
      <c r="K135" s="150"/>
      <c r="L135" s="150"/>
      <c r="M135" s="150"/>
      <c r="N135" s="150"/>
      <c r="O135" s="150"/>
      <c r="P135" s="150"/>
      <c r="Q135" s="150"/>
      <c r="R135" s="150"/>
      <c r="S135" s="151"/>
      <c r="T135" s="151"/>
      <c r="U135" s="151"/>
      <c r="V135" s="151"/>
      <c r="W135" s="152"/>
      <c r="AR135" s="111">
        <v>0</v>
      </c>
    </row>
    <row r="136" spans="4:44" ht="11.45" customHeight="1">
      <c r="AR136" s="111">
        <v>11</v>
      </c>
    </row>
    <row r="137" spans="4:44" ht="11.45" customHeight="1">
      <c r="AR137" s="111">
        <v>11</v>
      </c>
    </row>
    <row r="138" spans="4:44" ht="11.45" customHeight="1">
      <c r="AR138" s="111">
        <v>11</v>
      </c>
    </row>
    <row r="139" spans="4:44" ht="11.45" customHeight="1">
      <c r="AR139" s="111">
        <v>11</v>
      </c>
    </row>
    <row r="140" spans="4:44" ht="11.45" customHeight="1">
      <c r="AR140" s="111">
        <v>11</v>
      </c>
    </row>
    <row r="141" spans="4:44" ht="11.45" customHeight="1">
      <c r="AR141" s="111">
        <v>11</v>
      </c>
    </row>
    <row r="142" spans="4:44" ht="11.45" customHeight="1">
      <c r="AR142" s="111">
        <v>11</v>
      </c>
    </row>
    <row r="143" spans="4:44" ht="11.45" customHeight="1">
      <c r="AR143" s="111">
        <v>11</v>
      </c>
    </row>
    <row r="144" spans="4:44" ht="11.45" customHeight="1">
      <c r="AR144" s="111">
        <v>11</v>
      </c>
    </row>
    <row r="145" spans="1:44" ht="11.45" customHeight="1">
      <c r="AR145" s="111">
        <v>11</v>
      </c>
    </row>
    <row r="146" spans="1:44" ht="11.25" hidden="1" customHeight="1">
      <c r="A146" s="87" t="s">
        <v>82</v>
      </c>
      <c r="B146" s="87">
        <v>0</v>
      </c>
      <c r="C146" s="111">
        <v>3</v>
      </c>
      <c r="D146" s="111">
        <v>6</v>
      </c>
      <c r="E146" s="111">
        <v>42</v>
      </c>
      <c r="F146" s="111">
        <v>14</v>
      </c>
      <c r="G146" s="111">
        <v>42</v>
      </c>
      <c r="H146" s="111">
        <v>3</v>
      </c>
      <c r="I146" s="111">
        <v>5</v>
      </c>
      <c r="J146" s="111">
        <v>47</v>
      </c>
      <c r="K146" s="111">
        <v>3</v>
      </c>
      <c r="L146" s="111">
        <v>3</v>
      </c>
      <c r="M146" s="111">
        <v>5</v>
      </c>
      <c r="N146" s="111">
        <v>28</v>
      </c>
      <c r="O146" s="111">
        <v>3</v>
      </c>
      <c r="P146" s="111">
        <v>3</v>
      </c>
      <c r="Q146" s="111">
        <v>5</v>
      </c>
      <c r="R146" s="111">
        <v>34</v>
      </c>
      <c r="S146" s="111">
        <v>0</v>
      </c>
      <c r="T146" s="111">
        <v>0</v>
      </c>
      <c r="U146" s="111">
        <v>0</v>
      </c>
      <c r="V146" s="111">
        <v>0</v>
      </c>
      <c r="W146" s="111">
        <v>30</v>
      </c>
      <c r="X146" s="111">
        <v>3</v>
      </c>
      <c r="Y146" s="125">
        <v>0</v>
      </c>
      <c r="Z146" s="125">
        <v>0</v>
      </c>
      <c r="AA146" s="125">
        <v>0</v>
      </c>
      <c r="AB146" s="125">
        <v>0</v>
      </c>
      <c r="AC146" s="125">
        <v>0</v>
      </c>
      <c r="AD146" s="125">
        <v>0</v>
      </c>
      <c r="AE146" s="125">
        <v>0</v>
      </c>
      <c r="AF146" s="125">
        <v>0</v>
      </c>
      <c r="AG146" s="125">
        <v>0</v>
      </c>
      <c r="AH146" s="125">
        <v>0</v>
      </c>
      <c r="AI146" s="125">
        <v>0</v>
      </c>
      <c r="AJ146" s="125">
        <v>0</v>
      </c>
      <c r="AK146" s="125">
        <v>0</v>
      </c>
      <c r="AL146" s="125">
        <v>0</v>
      </c>
      <c r="AM146" s="125">
        <v>0</v>
      </c>
      <c r="AN146" s="125">
        <v>0</v>
      </c>
      <c r="AO146" s="125">
        <v>0</v>
      </c>
      <c r="AP146" s="125">
        <v>0</v>
      </c>
      <c r="AQ146" s="125">
        <v>0</v>
      </c>
      <c r="AR146" s="111">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DCED-5B4B-BCFB-4AAC-BEC53A7D1E7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64" width="8" customWidth="1"/>
    <col min="65" max="65" width="9.140625" hidden="1"/>
  </cols>
  <sheetData>
    <row r="1" spans="4:65" ht="11.25" hidden="1" customHeight="1">
      <c r="BM1" s="155" t="s">
        <v>14</v>
      </c>
    </row>
    <row r="2" spans="4:65" ht="11.25" hidden="1" customHeight="1">
      <c r="L2" s="156" t="s">
        <v>280</v>
      </c>
      <c r="M2" s="156" t="s">
        <v>281</v>
      </c>
      <c r="R2" s="156" t="s">
        <v>282</v>
      </c>
      <c r="S2" s="156" t="s">
        <v>281</v>
      </c>
      <c r="X2" s="156" t="s">
        <v>280</v>
      </c>
      <c r="Y2" s="156" t="s">
        <v>281</v>
      </c>
      <c r="AD2" s="156" t="s">
        <v>280</v>
      </c>
      <c r="AE2" s="156" t="s">
        <v>281</v>
      </c>
      <c r="BM2" s="156">
        <v>0</v>
      </c>
    </row>
    <row r="3" spans="4:65" ht="11.45" customHeight="1">
      <c r="BM3" s="157">
        <v>11</v>
      </c>
    </row>
    <row r="4" spans="4:65" ht="34.5" customHeight="1">
      <c r="D4" s="1045" t="s">
        <v>283</v>
      </c>
      <c r="E4" s="1045"/>
      <c r="F4" s="1045"/>
      <c r="G4" s="1045"/>
      <c r="H4" s="1045"/>
      <c r="I4" s="1045"/>
      <c r="J4" s="1045"/>
      <c r="BM4" s="77">
        <v>33</v>
      </c>
    </row>
    <row r="5" spans="4:65" ht="14.65" customHeight="1">
      <c r="D5" s="1066" t="str">
        <f>IF(org=0,"Не определено",org)</f>
        <v>ООО "ТВС"</v>
      </c>
      <c r="E5" s="1066"/>
      <c r="F5" s="1066"/>
      <c r="G5" s="1066"/>
      <c r="H5" s="1066"/>
      <c r="I5" s="1066"/>
      <c r="J5" s="1066"/>
      <c r="BM5" s="77">
        <v>14</v>
      </c>
    </row>
    <row r="6" spans="4:65" ht="14.65" customHeight="1">
      <c r="BM6" s="77">
        <v>14</v>
      </c>
    </row>
    <row r="7" spans="4:65" ht="1.1499999999999999" customHeight="1">
      <c r="BM7" s="155">
        <v>1</v>
      </c>
    </row>
    <row r="8" spans="4:65" ht="33.75" customHeight="1">
      <c r="D8" s="995" t="s">
        <v>88</v>
      </c>
      <c r="E8" s="995" t="s">
        <v>106</v>
      </c>
      <c r="F8" s="1047" t="s">
        <v>125</v>
      </c>
      <c r="G8" s="1048"/>
      <c r="H8" s="1047" t="s">
        <v>88</v>
      </c>
      <c r="I8" s="1048"/>
      <c r="J8" s="995" t="s">
        <v>126</v>
      </c>
      <c r="K8" s="160"/>
      <c r="L8" s="1046" t="s">
        <v>284</v>
      </c>
      <c r="M8" s="1046"/>
      <c r="N8" s="1046"/>
      <c r="O8" s="1046"/>
      <c r="P8" s="1046"/>
      <c r="Q8" s="158"/>
      <c r="R8" s="977" t="s">
        <v>285</v>
      </c>
      <c r="S8" s="982"/>
      <c r="T8" s="982"/>
      <c r="U8" s="982"/>
      <c r="V8" s="982"/>
      <c r="W8" s="158"/>
      <c r="X8" s="995" t="s">
        <v>286</v>
      </c>
      <c r="Y8" s="995"/>
      <c r="Z8" s="995"/>
      <c r="AA8" s="995"/>
      <c r="AB8" s="995"/>
      <c r="AC8" s="161"/>
      <c r="AD8" s="995" t="s">
        <v>287</v>
      </c>
      <c r="AE8" s="995"/>
      <c r="AF8" s="995"/>
      <c r="AG8" s="995"/>
      <c r="AH8" s="977"/>
      <c r="AI8" s="995" t="s">
        <v>288</v>
      </c>
      <c r="BM8" s="97">
        <v>32</v>
      </c>
    </row>
    <row r="9" spans="4:65" ht="23.25" customHeight="1">
      <c r="D9" s="995"/>
      <c r="E9" s="995"/>
      <c r="F9" s="1046" t="s">
        <v>89</v>
      </c>
      <c r="G9" s="1046" t="s">
        <v>131</v>
      </c>
      <c r="H9" s="1049"/>
      <c r="I9" s="1050"/>
      <c r="J9" s="977"/>
      <c r="K9" s="162"/>
      <c r="L9" s="995" t="s">
        <v>289</v>
      </c>
      <c r="M9" s="977"/>
      <c r="N9" s="1047" t="s">
        <v>88</v>
      </c>
      <c r="O9" s="1048"/>
      <c r="P9" s="995" t="s">
        <v>132</v>
      </c>
      <c r="Q9" s="160"/>
      <c r="R9" s="995" t="s">
        <v>289</v>
      </c>
      <c r="S9" s="977"/>
      <c r="T9" s="1047" t="s">
        <v>88</v>
      </c>
      <c r="U9" s="1048"/>
      <c r="V9" s="995" t="s">
        <v>132</v>
      </c>
      <c r="W9" s="160"/>
      <c r="X9" s="995" t="s">
        <v>289</v>
      </c>
      <c r="Y9" s="977"/>
      <c r="Z9" s="1047" t="s">
        <v>88</v>
      </c>
      <c r="AA9" s="1048"/>
      <c r="AB9" s="995" t="s">
        <v>290</v>
      </c>
      <c r="AC9" s="160"/>
      <c r="AD9" s="995" t="s">
        <v>289</v>
      </c>
      <c r="AE9" s="977"/>
      <c r="AF9" s="1047" t="s">
        <v>88</v>
      </c>
      <c r="AG9" s="1048"/>
      <c r="AH9" s="977" t="s">
        <v>290</v>
      </c>
      <c r="AI9" s="995"/>
      <c r="BM9" s="97">
        <v>22</v>
      </c>
    </row>
    <row r="10" spans="4:65" ht="24" customHeight="1">
      <c r="D10" s="1046"/>
      <c r="E10" s="1046"/>
      <c r="F10" s="1051"/>
      <c r="G10" s="1051"/>
      <c r="H10" s="1052"/>
      <c r="I10" s="1053"/>
      <c r="J10" s="1047"/>
      <c r="K10" s="162"/>
      <c r="L10" s="161" t="s">
        <v>291</v>
      </c>
      <c r="M10" s="158" t="s">
        <v>292</v>
      </c>
      <c r="N10" s="1049"/>
      <c r="O10" s="1050"/>
      <c r="P10" s="1046"/>
      <c r="Q10" s="160"/>
      <c r="R10" s="161" t="s">
        <v>291</v>
      </c>
      <c r="S10" s="158" t="s">
        <v>292</v>
      </c>
      <c r="T10" s="1049"/>
      <c r="U10" s="1050"/>
      <c r="V10" s="1046"/>
      <c r="W10" s="160"/>
      <c r="X10" s="161" t="s">
        <v>291</v>
      </c>
      <c r="Y10" s="158" t="s">
        <v>292</v>
      </c>
      <c r="Z10" s="1049"/>
      <c r="AA10" s="1050"/>
      <c r="AB10" s="1046"/>
      <c r="AC10" s="160"/>
      <c r="AD10" s="161" t="s">
        <v>291</v>
      </c>
      <c r="AE10" s="158" t="s">
        <v>292</v>
      </c>
      <c r="AF10" s="1049"/>
      <c r="AG10" s="1050"/>
      <c r="AH10" s="1047"/>
      <c r="AI10" s="1046"/>
      <c r="AK10" s="163" t="s">
        <v>293</v>
      </c>
      <c r="AL10" s="163" t="s">
        <v>133</v>
      </c>
      <c r="BM10" s="97">
        <v>23</v>
      </c>
    </row>
    <row r="11" spans="4:65" ht="15" customHeight="1">
      <c r="D11" s="1054" t="s">
        <v>110</v>
      </c>
      <c r="E11" s="1056" t="s">
        <v>294</v>
      </c>
      <c r="F11" s="1056" t="s">
        <v>295</v>
      </c>
      <c r="G11" s="1059" t="s">
        <v>19</v>
      </c>
      <c r="H11" s="166"/>
      <c r="I11" s="1061"/>
      <c r="J11" s="1019"/>
      <c r="K11" s="141"/>
      <c r="L11" s="1013"/>
      <c r="M11" s="1013"/>
      <c r="N11" s="167"/>
      <c r="O11" s="1013"/>
      <c r="P11" s="1019"/>
      <c r="Q11" s="141"/>
      <c r="R11" s="1013"/>
      <c r="S11" s="1013"/>
      <c r="T11" s="168"/>
      <c r="U11" s="1013"/>
      <c r="V11" s="1019"/>
      <c r="W11" s="142"/>
      <c r="X11" s="1013"/>
      <c r="Y11" s="1013"/>
      <c r="Z11" s="167"/>
      <c r="AA11" s="1013"/>
      <c r="AB11" s="1019"/>
      <c r="AC11" s="169"/>
      <c r="AD11" s="1013"/>
      <c r="AE11" s="1013"/>
      <c r="AF11" s="142"/>
      <c r="AG11" s="142"/>
      <c r="AH11" s="167"/>
      <c r="AI11" s="144"/>
      <c r="BM11" s="97">
        <v>14</v>
      </c>
    </row>
    <row r="12" spans="4:65" ht="14.65" customHeight="1">
      <c r="D12" s="1054"/>
      <c r="E12" s="1056"/>
      <c r="F12" s="1056"/>
      <c r="G12" s="1060"/>
      <c r="H12" s="171"/>
      <c r="I12" s="964"/>
      <c r="J12" s="964"/>
      <c r="L12" s="964"/>
      <c r="M12" s="964"/>
      <c r="O12" s="964"/>
      <c r="P12" s="964"/>
      <c r="R12" s="964"/>
      <c r="S12" s="964"/>
      <c r="U12" s="964"/>
      <c r="V12" s="964"/>
      <c r="X12" s="964"/>
      <c r="Y12" s="964"/>
      <c r="AA12" s="964"/>
      <c r="AB12" s="964"/>
      <c r="AD12" s="964"/>
      <c r="AE12" s="964"/>
      <c r="AH12" s="964"/>
      <c r="AI12" s="1064"/>
      <c r="BM12" s="97">
        <v>14</v>
      </c>
    </row>
    <row r="13" spans="4:65" ht="14.65" customHeight="1">
      <c r="D13" s="1054"/>
      <c r="E13" s="1056"/>
      <c r="F13" s="1056"/>
      <c r="G13" s="1060"/>
      <c r="H13" s="171"/>
      <c r="I13" s="964"/>
      <c r="J13" s="964"/>
      <c r="L13" s="964"/>
      <c r="M13" s="964"/>
      <c r="O13" s="964"/>
      <c r="P13" s="964"/>
      <c r="R13" s="964"/>
      <c r="S13" s="964"/>
      <c r="U13" s="964"/>
      <c r="V13" s="964"/>
      <c r="X13" s="964"/>
      <c r="Y13" s="964"/>
      <c r="AB13" s="964"/>
      <c r="AC13" s="964"/>
      <c r="AD13" s="964"/>
      <c r="AE13" s="964"/>
      <c r="AF13" s="964"/>
      <c r="AG13" s="964"/>
      <c r="AH13" s="964"/>
      <c r="AI13" s="1064"/>
      <c r="BM13" s="97">
        <v>14</v>
      </c>
    </row>
    <row r="14" spans="4:65" ht="14.65" customHeight="1">
      <c r="D14" s="1054"/>
      <c r="E14" s="1056"/>
      <c r="F14" s="1056"/>
      <c r="G14" s="1060"/>
      <c r="H14" s="171"/>
      <c r="I14" s="964"/>
      <c r="J14" s="964"/>
      <c r="L14" s="964"/>
      <c r="M14" s="964"/>
      <c r="O14" s="964"/>
      <c r="P14" s="964"/>
      <c r="R14" s="964"/>
      <c r="S14" s="964"/>
      <c r="V14" s="964"/>
      <c r="W14" s="964"/>
      <c r="X14" s="964"/>
      <c r="Y14" s="964"/>
      <c r="Z14" s="964"/>
      <c r="AA14" s="964"/>
      <c r="AB14" s="964"/>
      <c r="AC14" s="964"/>
      <c r="AD14" s="964"/>
      <c r="AE14" s="964"/>
      <c r="AF14" s="964"/>
      <c r="AG14" s="964"/>
      <c r="AH14" s="964"/>
      <c r="AI14" s="1064"/>
      <c r="BM14" s="97">
        <v>14</v>
      </c>
    </row>
    <row r="15" spans="4:65" ht="11.45" customHeight="1">
      <c r="D15" s="1054"/>
      <c r="E15" s="1056"/>
      <c r="F15" s="1056"/>
      <c r="G15" s="1060"/>
      <c r="H15" s="172"/>
      <c r="I15" s="964"/>
      <c r="J15" s="964"/>
      <c r="L15" s="964"/>
      <c r="M15" s="964"/>
      <c r="P15" s="964"/>
      <c r="Q15" s="964"/>
      <c r="R15" s="964"/>
      <c r="S15" s="964"/>
      <c r="T15" s="964"/>
      <c r="U15" s="964"/>
      <c r="V15" s="964"/>
      <c r="W15" s="964"/>
      <c r="X15" s="964"/>
      <c r="Y15" s="964"/>
      <c r="Z15" s="964"/>
      <c r="AA15" s="964"/>
      <c r="AB15" s="964"/>
      <c r="AC15" s="964"/>
      <c r="AD15" s="964"/>
      <c r="AE15" s="964"/>
      <c r="AF15" s="964"/>
      <c r="AG15" s="964"/>
      <c r="AH15" s="964"/>
      <c r="AI15" s="1064"/>
      <c r="BM15" s="97">
        <v>11</v>
      </c>
    </row>
    <row r="16" spans="4:65" ht="11.45" customHeight="1">
      <c r="D16" s="1055"/>
      <c r="E16" s="1057"/>
      <c r="F16" s="1058"/>
      <c r="G16" s="1009"/>
      <c r="H16" s="175"/>
      <c r="I16" s="176"/>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3"/>
      <c r="BM16" s="157">
        <v>11</v>
      </c>
    </row>
    <row r="17" spans="4:65" ht="15" customHeight="1">
      <c r="D17" s="1054" t="s">
        <v>111</v>
      </c>
      <c r="E17" s="1056" t="s">
        <v>294</v>
      </c>
      <c r="F17" s="1056" t="s">
        <v>296</v>
      </c>
      <c r="G17" s="1059" t="s">
        <v>19</v>
      </c>
      <c r="H17" s="166"/>
      <c r="I17" s="1061"/>
      <c r="J17" s="1019"/>
      <c r="K17" s="141"/>
      <c r="L17" s="1013"/>
      <c r="M17" s="1013"/>
      <c r="N17" s="167"/>
      <c r="O17" s="1013"/>
      <c r="P17" s="1019"/>
      <c r="Q17" s="141"/>
      <c r="R17" s="1013"/>
      <c r="S17" s="1013"/>
      <c r="T17" s="168"/>
      <c r="U17" s="1013"/>
      <c r="V17" s="1019"/>
      <c r="W17" s="142"/>
      <c r="X17" s="1013"/>
      <c r="Y17" s="1013"/>
      <c r="Z17" s="167"/>
      <c r="AA17" s="1013"/>
      <c r="AB17" s="1019"/>
      <c r="AC17" s="169"/>
      <c r="AD17" s="1013"/>
      <c r="AE17" s="1013"/>
      <c r="AF17" s="142"/>
      <c r="AG17" s="142"/>
      <c r="AH17" s="167"/>
      <c r="AI17" s="144"/>
      <c r="BM17" s="97">
        <v>14</v>
      </c>
    </row>
    <row r="18" spans="4:65" ht="14.65" customHeight="1">
      <c r="D18" s="1054"/>
      <c r="E18" s="1056"/>
      <c r="F18" s="1056"/>
      <c r="G18" s="1060"/>
      <c r="H18" s="171"/>
      <c r="I18" s="964"/>
      <c r="J18" s="964"/>
      <c r="L18" s="964"/>
      <c r="M18" s="964"/>
      <c r="O18" s="964"/>
      <c r="P18" s="964"/>
      <c r="R18" s="964"/>
      <c r="S18" s="964"/>
      <c r="U18" s="964"/>
      <c r="V18" s="964"/>
      <c r="X18" s="964"/>
      <c r="Y18" s="964"/>
      <c r="AA18" s="964"/>
      <c r="AB18" s="964"/>
      <c r="AD18" s="964"/>
      <c r="AE18" s="964"/>
      <c r="AH18" s="964"/>
      <c r="AI18" s="1064"/>
      <c r="BM18" s="97">
        <v>14</v>
      </c>
    </row>
    <row r="19" spans="4:65" ht="14.65" customHeight="1">
      <c r="D19" s="1054"/>
      <c r="E19" s="1056"/>
      <c r="F19" s="1056"/>
      <c r="G19" s="1060"/>
      <c r="H19" s="171"/>
      <c r="I19" s="964"/>
      <c r="J19" s="964"/>
      <c r="L19" s="964"/>
      <c r="M19" s="964"/>
      <c r="O19" s="964"/>
      <c r="P19" s="964"/>
      <c r="R19" s="964"/>
      <c r="S19" s="964"/>
      <c r="U19" s="964"/>
      <c r="V19" s="964"/>
      <c r="X19" s="964"/>
      <c r="Y19" s="964"/>
      <c r="AB19" s="964"/>
      <c r="AC19" s="964"/>
      <c r="AD19" s="964"/>
      <c r="AE19" s="964"/>
      <c r="AF19" s="964"/>
      <c r="AG19" s="964"/>
      <c r="AH19" s="964"/>
      <c r="AI19" s="1064"/>
      <c r="BM19" s="97">
        <v>14</v>
      </c>
    </row>
    <row r="20" spans="4:65" ht="14.65" customHeight="1">
      <c r="D20" s="1054"/>
      <c r="E20" s="1056"/>
      <c r="F20" s="1056"/>
      <c r="G20" s="1060"/>
      <c r="H20" s="171"/>
      <c r="I20" s="964"/>
      <c r="J20" s="964"/>
      <c r="L20" s="964"/>
      <c r="M20" s="964"/>
      <c r="O20" s="964"/>
      <c r="P20" s="964"/>
      <c r="R20" s="964"/>
      <c r="S20" s="964"/>
      <c r="V20" s="964"/>
      <c r="W20" s="964"/>
      <c r="X20" s="964"/>
      <c r="Y20" s="964"/>
      <c r="Z20" s="964"/>
      <c r="AA20" s="964"/>
      <c r="AB20" s="964"/>
      <c r="AC20" s="964"/>
      <c r="AD20" s="964"/>
      <c r="AE20" s="964"/>
      <c r="AF20" s="964"/>
      <c r="AG20" s="964"/>
      <c r="AH20" s="964"/>
      <c r="AI20" s="1064"/>
      <c r="BM20" s="97">
        <v>14</v>
      </c>
    </row>
    <row r="21" spans="4:65" ht="11.45" customHeight="1">
      <c r="D21" s="1054"/>
      <c r="E21" s="1056"/>
      <c r="F21" s="1056"/>
      <c r="G21" s="1060"/>
      <c r="H21" s="172"/>
      <c r="I21" s="964"/>
      <c r="J21" s="964"/>
      <c r="L21" s="964"/>
      <c r="M21" s="964"/>
      <c r="P21" s="964"/>
      <c r="Q21" s="964"/>
      <c r="R21" s="964"/>
      <c r="S21" s="964"/>
      <c r="T21" s="964"/>
      <c r="U21" s="964"/>
      <c r="V21" s="964"/>
      <c r="W21" s="964"/>
      <c r="X21" s="964"/>
      <c r="Y21" s="964"/>
      <c r="Z21" s="964"/>
      <c r="AA21" s="964"/>
      <c r="AB21" s="964"/>
      <c r="AC21" s="964"/>
      <c r="AD21" s="964"/>
      <c r="AE21" s="964"/>
      <c r="AF21" s="964"/>
      <c r="AG21" s="964"/>
      <c r="AH21" s="964"/>
      <c r="AI21" s="1064"/>
      <c r="BM21" s="97">
        <v>11</v>
      </c>
    </row>
    <row r="22" spans="4:65" ht="11.45" customHeight="1">
      <c r="D22" s="1055"/>
      <c r="E22" s="1057"/>
      <c r="F22" s="1058"/>
      <c r="G22" s="1009"/>
      <c r="H22" s="175"/>
      <c r="I22" s="176"/>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3"/>
      <c r="BM22" s="157">
        <v>11</v>
      </c>
    </row>
    <row r="23" spans="4:65" ht="15" customHeight="1">
      <c r="D23" s="1054" t="s">
        <v>90</v>
      </c>
      <c r="E23" s="1056" t="s">
        <v>294</v>
      </c>
      <c r="F23" s="1056" t="s">
        <v>297</v>
      </c>
      <c r="G23" s="1059" t="s">
        <v>19</v>
      </c>
      <c r="H23" s="166"/>
      <c r="I23" s="1061"/>
      <c r="J23" s="1019"/>
      <c r="K23" s="141"/>
      <c r="L23" s="1013"/>
      <c r="M23" s="1013"/>
      <c r="N23" s="167"/>
      <c r="O23" s="1013"/>
      <c r="P23" s="1019"/>
      <c r="Q23" s="141"/>
      <c r="R23" s="1013"/>
      <c r="S23" s="1013"/>
      <c r="T23" s="168"/>
      <c r="U23" s="1013"/>
      <c r="V23" s="1019"/>
      <c r="W23" s="142"/>
      <c r="X23" s="1013"/>
      <c r="Y23" s="1013"/>
      <c r="Z23" s="167"/>
      <c r="AA23" s="1013"/>
      <c r="AB23" s="1019"/>
      <c r="AC23" s="169"/>
      <c r="AD23" s="1013"/>
      <c r="AE23" s="1013"/>
      <c r="AF23" s="142"/>
      <c r="AG23" s="142"/>
      <c r="AH23" s="167"/>
      <c r="AI23" s="144"/>
      <c r="AK23" s="177" t="s">
        <v>98</v>
      </c>
      <c r="BM23" s="97">
        <v>14</v>
      </c>
    </row>
    <row r="24" spans="4:65" ht="14.65" customHeight="1">
      <c r="D24" s="1054"/>
      <c r="E24" s="1056"/>
      <c r="F24" s="1056"/>
      <c r="G24" s="1060"/>
      <c r="H24" s="171"/>
      <c r="I24" s="964"/>
      <c r="J24" s="964"/>
      <c r="L24" s="964"/>
      <c r="M24" s="964"/>
      <c r="O24" s="964"/>
      <c r="P24" s="964"/>
      <c r="R24" s="964"/>
      <c r="S24" s="964"/>
      <c r="U24" s="964"/>
      <c r="V24" s="964"/>
      <c r="X24" s="964"/>
      <c r="Y24" s="964"/>
      <c r="AA24" s="964"/>
      <c r="AB24" s="964"/>
      <c r="AD24" s="964"/>
      <c r="AE24" s="964"/>
      <c r="AH24" s="964"/>
      <c r="AI24" s="1064"/>
      <c r="BM24" s="97">
        <v>14</v>
      </c>
    </row>
    <row r="25" spans="4:65" ht="14.65" customHeight="1">
      <c r="D25" s="1054"/>
      <c r="E25" s="1056"/>
      <c r="F25" s="1056"/>
      <c r="G25" s="1060"/>
      <c r="H25" s="171"/>
      <c r="I25" s="964"/>
      <c r="J25" s="964"/>
      <c r="L25" s="964"/>
      <c r="M25" s="964"/>
      <c r="O25" s="964"/>
      <c r="P25" s="964"/>
      <c r="R25" s="964"/>
      <c r="S25" s="964"/>
      <c r="U25" s="964"/>
      <c r="V25" s="964"/>
      <c r="X25" s="964"/>
      <c r="Y25" s="964"/>
      <c r="AB25" s="964"/>
      <c r="AC25" s="964"/>
      <c r="AD25" s="964"/>
      <c r="AE25" s="964"/>
      <c r="AF25" s="964"/>
      <c r="AG25" s="964"/>
      <c r="AH25" s="964"/>
      <c r="AI25" s="1064"/>
      <c r="BM25" s="97">
        <v>14</v>
      </c>
    </row>
    <row r="26" spans="4:65" ht="14.65" customHeight="1">
      <c r="D26" s="1054"/>
      <c r="E26" s="1056"/>
      <c r="F26" s="1056"/>
      <c r="G26" s="1060"/>
      <c r="H26" s="171"/>
      <c r="I26" s="964"/>
      <c r="J26" s="964"/>
      <c r="L26" s="964"/>
      <c r="M26" s="964"/>
      <c r="O26" s="964"/>
      <c r="P26" s="964"/>
      <c r="R26" s="964"/>
      <c r="S26" s="964"/>
      <c r="V26" s="964"/>
      <c r="W26" s="964"/>
      <c r="X26" s="964"/>
      <c r="Y26" s="964"/>
      <c r="Z26" s="964"/>
      <c r="AA26" s="964"/>
      <c r="AB26" s="964"/>
      <c r="AC26" s="964"/>
      <c r="AD26" s="964"/>
      <c r="AE26" s="964"/>
      <c r="AF26" s="964"/>
      <c r="AG26" s="964"/>
      <c r="AH26" s="964"/>
      <c r="AI26" s="1064"/>
      <c r="BM26" s="97">
        <v>14</v>
      </c>
    </row>
    <row r="27" spans="4:65" ht="11.45" customHeight="1">
      <c r="D27" s="1054"/>
      <c r="E27" s="1056"/>
      <c r="F27" s="1056"/>
      <c r="G27" s="1060"/>
      <c r="H27" s="172"/>
      <c r="I27" s="964"/>
      <c r="J27" s="964"/>
      <c r="L27" s="964"/>
      <c r="M27" s="964"/>
      <c r="P27" s="964"/>
      <c r="Q27" s="964"/>
      <c r="R27" s="964"/>
      <c r="S27" s="964"/>
      <c r="T27" s="964"/>
      <c r="U27" s="964"/>
      <c r="V27" s="964"/>
      <c r="W27" s="964"/>
      <c r="X27" s="964"/>
      <c r="Y27" s="964"/>
      <c r="Z27" s="964"/>
      <c r="AA27" s="964"/>
      <c r="AB27" s="964"/>
      <c r="AC27" s="964"/>
      <c r="AD27" s="964"/>
      <c r="AE27" s="964"/>
      <c r="AF27" s="964"/>
      <c r="AG27" s="964"/>
      <c r="AH27" s="964"/>
      <c r="AI27" s="1064"/>
      <c r="BM27" s="97">
        <v>11</v>
      </c>
    </row>
    <row r="28" spans="4:65" ht="11.45" customHeight="1">
      <c r="D28" s="1055"/>
      <c r="E28" s="1057"/>
      <c r="F28" s="1058"/>
      <c r="G28" s="1009"/>
      <c r="H28" s="175"/>
      <c r="I28" s="176"/>
      <c r="J28" s="1062"/>
      <c r="K28" s="1062"/>
      <c r="L28" s="1062"/>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3"/>
      <c r="BM28" s="157">
        <v>11</v>
      </c>
    </row>
    <row r="29" spans="4:65" ht="15" customHeight="1">
      <c r="D29" s="1054" t="s">
        <v>91</v>
      </c>
      <c r="E29" s="1056" t="s">
        <v>294</v>
      </c>
      <c r="F29" s="1056" t="s">
        <v>298</v>
      </c>
      <c r="G29" s="1059" t="s">
        <v>19</v>
      </c>
      <c r="H29" s="166"/>
      <c r="I29" s="1061"/>
      <c r="J29" s="1019"/>
      <c r="K29" s="141"/>
      <c r="L29" s="1013"/>
      <c r="M29" s="1013"/>
      <c r="N29" s="167"/>
      <c r="O29" s="1013"/>
      <c r="P29" s="1019"/>
      <c r="Q29" s="141"/>
      <c r="R29" s="1013"/>
      <c r="S29" s="1013"/>
      <c r="T29" s="168"/>
      <c r="U29" s="1013"/>
      <c r="V29" s="1019"/>
      <c r="W29" s="142"/>
      <c r="X29" s="1013"/>
      <c r="Y29" s="1013"/>
      <c r="Z29" s="167"/>
      <c r="AA29" s="1013"/>
      <c r="AB29" s="1019"/>
      <c r="AC29" s="169"/>
      <c r="AD29" s="1013"/>
      <c r="AE29" s="1013"/>
      <c r="AF29" s="142"/>
      <c r="AG29" s="142"/>
      <c r="AH29" s="167"/>
      <c r="AI29" s="144"/>
      <c r="BM29" s="97">
        <v>14</v>
      </c>
    </row>
    <row r="30" spans="4:65" ht="14.65" customHeight="1">
      <c r="D30" s="1054"/>
      <c r="E30" s="1056"/>
      <c r="F30" s="1056"/>
      <c r="G30" s="1060"/>
      <c r="H30" s="171"/>
      <c r="I30" s="964"/>
      <c r="J30" s="964"/>
      <c r="L30" s="964"/>
      <c r="M30" s="964"/>
      <c r="O30" s="964"/>
      <c r="P30" s="964"/>
      <c r="R30" s="964"/>
      <c r="S30" s="964"/>
      <c r="U30" s="964"/>
      <c r="V30" s="964"/>
      <c r="X30" s="964"/>
      <c r="Y30" s="964"/>
      <c r="AA30" s="964"/>
      <c r="AB30" s="964"/>
      <c r="AD30" s="964"/>
      <c r="AE30" s="964"/>
      <c r="AH30" s="964"/>
      <c r="AI30" s="1064"/>
      <c r="BM30" s="97">
        <v>14</v>
      </c>
    </row>
    <row r="31" spans="4:65" ht="14.65" customHeight="1">
      <c r="D31" s="1054"/>
      <c r="E31" s="1056"/>
      <c r="F31" s="1056"/>
      <c r="G31" s="1060"/>
      <c r="H31" s="171"/>
      <c r="I31" s="964"/>
      <c r="J31" s="964"/>
      <c r="L31" s="964"/>
      <c r="M31" s="964"/>
      <c r="O31" s="964"/>
      <c r="P31" s="964"/>
      <c r="R31" s="964"/>
      <c r="S31" s="964"/>
      <c r="U31" s="964"/>
      <c r="V31" s="964"/>
      <c r="X31" s="964"/>
      <c r="Y31" s="964"/>
      <c r="AB31" s="964"/>
      <c r="AC31" s="964"/>
      <c r="AD31" s="964"/>
      <c r="AE31" s="964"/>
      <c r="AF31" s="964"/>
      <c r="AG31" s="964"/>
      <c r="AH31" s="964"/>
      <c r="AI31" s="1064"/>
      <c r="BM31" s="97">
        <v>14</v>
      </c>
    </row>
    <row r="32" spans="4:65" ht="14.65" customHeight="1">
      <c r="D32" s="1054"/>
      <c r="E32" s="1056"/>
      <c r="F32" s="1056"/>
      <c r="G32" s="1060"/>
      <c r="H32" s="171"/>
      <c r="I32" s="964"/>
      <c r="J32" s="964"/>
      <c r="L32" s="964"/>
      <c r="M32" s="964"/>
      <c r="O32" s="964"/>
      <c r="P32" s="964"/>
      <c r="R32" s="964"/>
      <c r="S32" s="964"/>
      <c r="V32" s="964"/>
      <c r="W32" s="964"/>
      <c r="X32" s="964"/>
      <c r="Y32" s="964"/>
      <c r="Z32" s="964"/>
      <c r="AA32" s="964"/>
      <c r="AB32" s="964"/>
      <c r="AC32" s="964"/>
      <c r="AD32" s="964"/>
      <c r="AE32" s="964"/>
      <c r="AF32" s="964"/>
      <c r="AG32" s="964"/>
      <c r="AH32" s="964"/>
      <c r="AI32" s="1064"/>
      <c r="BM32" s="97">
        <v>14</v>
      </c>
    </row>
    <row r="33" spans="4:65" ht="11.45" customHeight="1">
      <c r="D33" s="1054"/>
      <c r="E33" s="1056"/>
      <c r="F33" s="1056"/>
      <c r="G33" s="1060"/>
      <c r="H33" s="172"/>
      <c r="I33" s="964"/>
      <c r="J33" s="964"/>
      <c r="L33" s="964"/>
      <c r="M33" s="964"/>
      <c r="P33" s="964"/>
      <c r="Q33" s="964"/>
      <c r="R33" s="964"/>
      <c r="S33" s="964"/>
      <c r="T33" s="964"/>
      <c r="U33" s="964"/>
      <c r="V33" s="964"/>
      <c r="W33" s="964"/>
      <c r="X33" s="964"/>
      <c r="Y33" s="964"/>
      <c r="Z33" s="964"/>
      <c r="AA33" s="964"/>
      <c r="AB33" s="964"/>
      <c r="AC33" s="964"/>
      <c r="AD33" s="964"/>
      <c r="AE33" s="964"/>
      <c r="AF33" s="964"/>
      <c r="AG33" s="964"/>
      <c r="AH33" s="964"/>
      <c r="AI33" s="1064"/>
      <c r="BM33" s="97">
        <v>11</v>
      </c>
    </row>
    <row r="34" spans="4:65" ht="11.45" customHeight="1">
      <c r="D34" s="1055"/>
      <c r="E34" s="1057"/>
      <c r="F34" s="1058"/>
      <c r="G34" s="1009"/>
      <c r="H34" s="175"/>
      <c r="I34" s="176"/>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3"/>
      <c r="BM34" s="157">
        <v>11</v>
      </c>
    </row>
    <row r="35" spans="4:65" ht="15" customHeight="1">
      <c r="D35" s="1054" t="s">
        <v>112</v>
      </c>
      <c r="E35" s="1056" t="s">
        <v>294</v>
      </c>
      <c r="F35" s="1056" t="s">
        <v>299</v>
      </c>
      <c r="G35" s="1059" t="s">
        <v>19</v>
      </c>
      <c r="H35" s="166"/>
      <c r="I35" s="1061"/>
      <c r="J35" s="1019"/>
      <c r="K35" s="141"/>
      <c r="L35" s="1013"/>
      <c r="M35" s="1013"/>
      <c r="N35" s="167"/>
      <c r="O35" s="1013"/>
      <c r="P35" s="1019"/>
      <c r="Q35" s="141"/>
      <c r="R35" s="1013"/>
      <c r="S35" s="1013"/>
      <c r="T35" s="168"/>
      <c r="U35" s="1013"/>
      <c r="V35" s="1019"/>
      <c r="W35" s="142"/>
      <c r="X35" s="1013"/>
      <c r="Y35" s="1013"/>
      <c r="Z35" s="167"/>
      <c r="AA35" s="1013"/>
      <c r="AB35" s="1019"/>
      <c r="AC35" s="169"/>
      <c r="AD35" s="1013"/>
      <c r="AE35" s="1013"/>
      <c r="AF35" s="142"/>
      <c r="AG35" s="142"/>
      <c r="AH35" s="167"/>
      <c r="AI35" s="144"/>
      <c r="BM35" s="97">
        <v>14</v>
      </c>
    </row>
    <row r="36" spans="4:65" ht="14.65" customHeight="1">
      <c r="D36" s="1054"/>
      <c r="E36" s="1056"/>
      <c r="F36" s="1056"/>
      <c r="G36" s="1060"/>
      <c r="H36" s="171"/>
      <c r="I36" s="964"/>
      <c r="J36" s="964"/>
      <c r="L36" s="964"/>
      <c r="M36" s="964"/>
      <c r="O36" s="964"/>
      <c r="P36" s="964"/>
      <c r="R36" s="964"/>
      <c r="S36" s="964"/>
      <c r="U36" s="964"/>
      <c r="V36" s="964"/>
      <c r="X36" s="964"/>
      <c r="Y36" s="964"/>
      <c r="AA36" s="964"/>
      <c r="AB36" s="964"/>
      <c r="AD36" s="964"/>
      <c r="AE36" s="964"/>
      <c r="AH36" s="964"/>
      <c r="AI36" s="1064"/>
      <c r="BM36" s="97">
        <v>14</v>
      </c>
    </row>
    <row r="37" spans="4:65" ht="14.65" customHeight="1">
      <c r="D37" s="1054"/>
      <c r="E37" s="1056"/>
      <c r="F37" s="1056"/>
      <c r="G37" s="1060"/>
      <c r="H37" s="171"/>
      <c r="I37" s="964"/>
      <c r="J37" s="964"/>
      <c r="L37" s="964"/>
      <c r="M37" s="964"/>
      <c r="O37" s="964"/>
      <c r="P37" s="964"/>
      <c r="R37" s="964"/>
      <c r="S37" s="964"/>
      <c r="U37" s="964"/>
      <c r="V37" s="964"/>
      <c r="X37" s="964"/>
      <c r="Y37" s="964"/>
      <c r="AB37" s="964"/>
      <c r="AC37" s="964"/>
      <c r="AD37" s="964"/>
      <c r="AE37" s="964"/>
      <c r="AF37" s="964"/>
      <c r="AG37" s="964"/>
      <c r="AH37" s="964"/>
      <c r="AI37" s="1064"/>
      <c r="BM37" s="97">
        <v>14</v>
      </c>
    </row>
    <row r="38" spans="4:65" ht="14.65" customHeight="1">
      <c r="D38" s="1054"/>
      <c r="E38" s="1056"/>
      <c r="F38" s="1056"/>
      <c r="G38" s="1060"/>
      <c r="H38" s="171"/>
      <c r="I38" s="964"/>
      <c r="J38" s="964"/>
      <c r="L38" s="964"/>
      <c r="M38" s="964"/>
      <c r="O38" s="964"/>
      <c r="P38" s="964"/>
      <c r="R38" s="964"/>
      <c r="S38" s="964"/>
      <c r="V38" s="964"/>
      <c r="W38" s="964"/>
      <c r="X38" s="964"/>
      <c r="Y38" s="964"/>
      <c r="Z38" s="964"/>
      <c r="AA38" s="964"/>
      <c r="AB38" s="964"/>
      <c r="AC38" s="964"/>
      <c r="AD38" s="964"/>
      <c r="AE38" s="964"/>
      <c r="AF38" s="964"/>
      <c r="AG38" s="964"/>
      <c r="AH38" s="964"/>
      <c r="AI38" s="1064"/>
      <c r="BM38" s="97">
        <v>14</v>
      </c>
    </row>
    <row r="39" spans="4:65" ht="11.45" customHeight="1">
      <c r="D39" s="1054"/>
      <c r="E39" s="1056"/>
      <c r="F39" s="1056"/>
      <c r="G39" s="1060"/>
      <c r="H39" s="172"/>
      <c r="I39" s="964"/>
      <c r="J39" s="964"/>
      <c r="L39" s="964"/>
      <c r="M39" s="964"/>
      <c r="P39" s="964"/>
      <c r="Q39" s="964"/>
      <c r="R39" s="964"/>
      <c r="S39" s="964"/>
      <c r="T39" s="964"/>
      <c r="U39" s="964"/>
      <c r="V39" s="964"/>
      <c r="W39" s="964"/>
      <c r="X39" s="964"/>
      <c r="Y39" s="964"/>
      <c r="Z39" s="964"/>
      <c r="AA39" s="964"/>
      <c r="AB39" s="964"/>
      <c r="AC39" s="964"/>
      <c r="AD39" s="964"/>
      <c r="AE39" s="964"/>
      <c r="AF39" s="964"/>
      <c r="AG39" s="964"/>
      <c r="AH39" s="964"/>
      <c r="AI39" s="1064"/>
      <c r="BM39" s="97">
        <v>11</v>
      </c>
    </row>
    <row r="40" spans="4:65" ht="11.45" customHeight="1">
      <c r="D40" s="1054"/>
      <c r="E40" s="1056"/>
      <c r="F40" s="1065"/>
      <c r="G40" s="1009"/>
      <c r="H40" s="175"/>
      <c r="I40" s="176"/>
      <c r="J40" s="1062"/>
      <c r="K40" s="1062"/>
      <c r="L40" s="1062"/>
      <c r="M40" s="1062"/>
      <c r="N40" s="1062"/>
      <c r="O40" s="1062"/>
      <c r="P40" s="1062"/>
      <c r="Q40" s="1062"/>
      <c r="R40" s="1062"/>
      <c r="S40" s="1062"/>
      <c r="T40" s="1062"/>
      <c r="U40" s="1062"/>
      <c r="V40" s="1062"/>
      <c r="W40" s="1062"/>
      <c r="X40" s="1062"/>
      <c r="Y40" s="1062"/>
      <c r="Z40" s="1062"/>
      <c r="AA40" s="1062"/>
      <c r="AB40" s="1062"/>
      <c r="AC40" s="1062"/>
      <c r="AD40" s="1062"/>
      <c r="AE40" s="1062"/>
      <c r="AF40" s="1062"/>
      <c r="AG40" s="1062"/>
      <c r="AH40" s="1062"/>
      <c r="AI40" s="1063"/>
      <c r="BM40" s="157">
        <v>11</v>
      </c>
    </row>
    <row r="41" spans="4:65" ht="11.45" customHeight="1">
      <c r="BM41" s="97">
        <v>11</v>
      </c>
    </row>
    <row r="42" spans="4:65" ht="11.45" customHeight="1">
      <c r="BM42" s="97">
        <v>11</v>
      </c>
    </row>
    <row r="43" spans="4:65" ht="11.45" customHeight="1">
      <c r="BM43" s="97">
        <v>11</v>
      </c>
    </row>
    <row r="44" spans="4:65" ht="11.45" customHeight="1">
      <c r="BM44" s="97">
        <v>11</v>
      </c>
    </row>
    <row r="45" spans="4:65" ht="11.45" customHeight="1">
      <c r="BM45" s="97">
        <v>11</v>
      </c>
    </row>
    <row r="46" spans="4:65" ht="11.45" customHeight="1">
      <c r="BM46" s="97">
        <v>11</v>
      </c>
    </row>
    <row r="47" spans="4:65" ht="11.45" customHeight="1">
      <c r="BM47" s="97">
        <v>11</v>
      </c>
    </row>
    <row r="48" spans="4:65" ht="11.45" customHeight="1">
      <c r="BM48" s="97">
        <v>11</v>
      </c>
    </row>
    <row r="49" spans="1:65" ht="11.45" customHeight="1">
      <c r="BM49" s="97">
        <v>11</v>
      </c>
    </row>
    <row r="50" spans="1:65" ht="11.25" hidden="1" customHeight="1">
      <c r="A50" s="97" t="s">
        <v>82</v>
      </c>
      <c r="B50" s="97">
        <v>0</v>
      </c>
      <c r="C50" s="97">
        <v>3</v>
      </c>
      <c r="D50" s="97">
        <v>3</v>
      </c>
      <c r="E50" s="97">
        <v>15</v>
      </c>
      <c r="F50" s="97">
        <v>15</v>
      </c>
      <c r="G50" s="97">
        <v>11</v>
      </c>
      <c r="H50" s="97">
        <v>3</v>
      </c>
      <c r="I50" s="97">
        <v>3</v>
      </c>
      <c r="J50" s="97">
        <v>12</v>
      </c>
      <c r="K50" s="97">
        <v>0</v>
      </c>
      <c r="L50" s="97">
        <v>10</v>
      </c>
      <c r="M50" s="97">
        <v>10</v>
      </c>
      <c r="N50" s="97">
        <v>3</v>
      </c>
      <c r="O50" s="97">
        <v>3</v>
      </c>
      <c r="P50" s="97">
        <v>19</v>
      </c>
      <c r="Q50" s="97">
        <v>0</v>
      </c>
      <c r="R50" s="97">
        <v>10</v>
      </c>
      <c r="S50" s="97">
        <v>10</v>
      </c>
      <c r="T50" s="97">
        <v>3</v>
      </c>
      <c r="U50" s="97">
        <v>3</v>
      </c>
      <c r="V50" s="97">
        <v>25</v>
      </c>
      <c r="W50" s="97">
        <v>0</v>
      </c>
      <c r="X50" s="97">
        <v>10</v>
      </c>
      <c r="Y50" s="97">
        <v>10</v>
      </c>
      <c r="Z50" s="97">
        <v>3</v>
      </c>
      <c r="AA50" s="97">
        <v>3</v>
      </c>
      <c r="AB50" s="97">
        <v>16</v>
      </c>
      <c r="AC50" s="97">
        <v>0</v>
      </c>
      <c r="AD50" s="97">
        <v>10</v>
      </c>
      <c r="AE50" s="97">
        <v>10</v>
      </c>
      <c r="AF50" s="97">
        <v>3</v>
      </c>
      <c r="AG50" s="97">
        <v>3</v>
      </c>
      <c r="AH50" s="97">
        <v>8</v>
      </c>
      <c r="AI50" s="97">
        <v>21</v>
      </c>
      <c r="AJ50" s="97">
        <v>8</v>
      </c>
      <c r="AK50" s="177">
        <v>8</v>
      </c>
      <c r="AL50" s="97">
        <v>8</v>
      </c>
      <c r="AM50" s="97">
        <v>8</v>
      </c>
      <c r="AN50" s="97">
        <v>8</v>
      </c>
      <c r="AO50" s="97">
        <v>8</v>
      </c>
      <c r="AP50" s="97">
        <v>8</v>
      </c>
      <c r="AQ50" s="97">
        <v>8</v>
      </c>
      <c r="AR50" s="97">
        <v>8</v>
      </c>
      <c r="AS50" s="97">
        <v>8</v>
      </c>
      <c r="AT50" s="97">
        <v>8</v>
      </c>
      <c r="AU50" s="97">
        <v>8</v>
      </c>
      <c r="AV50" s="97">
        <v>8</v>
      </c>
      <c r="AW50" s="97">
        <v>8</v>
      </c>
      <c r="AX50" s="97">
        <v>8</v>
      </c>
      <c r="AY50" s="97">
        <v>8</v>
      </c>
      <c r="AZ50" s="97">
        <v>8</v>
      </c>
      <c r="BA50" s="97">
        <v>8</v>
      </c>
      <c r="BB50" s="97">
        <v>8</v>
      </c>
      <c r="BC50" s="97">
        <v>8</v>
      </c>
      <c r="BD50" s="97">
        <v>8</v>
      </c>
      <c r="BE50" s="97">
        <v>8</v>
      </c>
      <c r="BF50" s="97">
        <v>8</v>
      </c>
      <c r="BG50" s="97">
        <v>8</v>
      </c>
      <c r="BH50" s="97">
        <v>8</v>
      </c>
      <c r="BI50" s="97">
        <v>8</v>
      </c>
      <c r="BJ50" s="97">
        <v>8</v>
      </c>
      <c r="BK50" s="97">
        <v>8</v>
      </c>
      <c r="BL50" s="97">
        <v>8</v>
      </c>
      <c r="BM50" s="9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C55B5-C7C7-423E-0985-C1E96F5A53DE}">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2" width="15" hidden="1" customWidth="1"/>
    <col min="3" max="3" width="3" customWidth="1"/>
    <col min="4" max="4" width="6" customWidth="1"/>
    <col min="5" max="5" width="52" customWidth="1"/>
    <col min="6" max="6" width="48" customWidth="1"/>
    <col min="7" max="7" width="121" customWidth="1"/>
    <col min="8" max="8" width="8" customWidth="1"/>
    <col min="9" max="9" width="64" customWidth="1"/>
    <col min="10" max="10" width="9.140625" hidden="1"/>
  </cols>
  <sheetData>
    <row r="1" spans="1:10" ht="11.25" hidden="1" customHeight="1">
      <c r="A1" s="179" t="s">
        <v>300</v>
      </c>
      <c r="J1" s="180" t="s">
        <v>14</v>
      </c>
    </row>
    <row r="2" spans="1:10" ht="11.25" hidden="1" customHeight="1">
      <c r="J2" s="180">
        <v>0</v>
      </c>
    </row>
    <row r="3" spans="1:10" ht="11.45" customHeight="1">
      <c r="A3" s="179"/>
      <c r="B3" s="181"/>
      <c r="D3" s="182"/>
      <c r="J3" s="183">
        <v>11</v>
      </c>
    </row>
    <row r="4" spans="1:10" ht="27.4" customHeight="1">
      <c r="D4" s="103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038"/>
      <c r="F4" s="1039"/>
      <c r="J4" s="180">
        <v>26</v>
      </c>
    </row>
    <row r="5" spans="1:10" ht="18" customHeight="1">
      <c r="D5" s="1066" t="str">
        <f>IF(org=0,"Не определено",org)</f>
        <v>ООО "ТВС"</v>
      </c>
      <c r="E5" s="1066"/>
      <c r="F5" s="1066"/>
      <c r="J5" s="180">
        <v>17</v>
      </c>
    </row>
    <row r="6" spans="1:10" ht="11.45" customHeight="1">
      <c r="A6" s="179"/>
      <c r="B6" s="181"/>
      <c r="F6" s="184"/>
      <c r="J6" s="183">
        <v>11</v>
      </c>
    </row>
    <row r="7" spans="1:10" ht="11.25" hidden="1" customHeight="1">
      <c r="A7" s="38"/>
      <c r="B7" s="185"/>
      <c r="C7" s="38"/>
      <c r="D7" s="31"/>
      <c r="E7" s="1071"/>
      <c r="F7" s="1071"/>
      <c r="J7" s="180">
        <v>0</v>
      </c>
    </row>
    <row r="8" spans="1:10" ht="11.45" customHeight="1">
      <c r="A8" s="38"/>
      <c r="B8" s="185"/>
      <c r="C8" s="38"/>
      <c r="D8" s="1068" t="s">
        <v>301</v>
      </c>
      <c r="E8" s="1069"/>
      <c r="F8" s="1069"/>
      <c r="G8" s="1072" t="s">
        <v>302</v>
      </c>
      <c r="J8" s="180">
        <v>11</v>
      </c>
    </row>
    <row r="9" spans="1:10" ht="11.45" customHeight="1">
      <c r="A9" s="38"/>
      <c r="B9" s="185"/>
      <c r="C9" s="38"/>
      <c r="D9" s="187" t="s">
        <v>88</v>
      </c>
      <c r="E9" s="188" t="s">
        <v>303</v>
      </c>
      <c r="F9" s="188" t="s">
        <v>304</v>
      </c>
      <c r="G9" s="1073"/>
      <c r="J9" s="180">
        <v>11</v>
      </c>
    </row>
    <row r="10" spans="1:10" ht="12" hidden="1" customHeight="1">
      <c r="A10" s="38"/>
      <c r="B10" s="185"/>
      <c r="C10" s="38"/>
      <c r="D10" s="190"/>
      <c r="E10" s="190"/>
      <c r="F10" s="190"/>
      <c r="G10" s="190"/>
      <c r="J10" s="180">
        <v>0</v>
      </c>
    </row>
    <row r="11" spans="1:10" ht="22.5" hidden="1" customHeight="1">
      <c r="A11" s="38"/>
      <c r="B11" s="185"/>
      <c r="C11" s="38"/>
      <c r="D11" s="191" t="s">
        <v>110</v>
      </c>
      <c r="E11" s="192" t="s">
        <v>305</v>
      </c>
      <c r="F11" s="193" t="str">
        <f>IF(region_name="","",region_name)</f>
        <v>г. Москва</v>
      </c>
      <c r="G11" s="192" t="s">
        <v>306</v>
      </c>
      <c r="H11" s="194"/>
      <c r="J11" s="180">
        <v>0</v>
      </c>
    </row>
    <row r="12" spans="1:10" ht="22.5" hidden="1" customHeight="1">
      <c r="A12" s="38"/>
      <c r="B12" s="185"/>
      <c r="C12" s="38"/>
      <c r="D12" s="195" t="s">
        <v>110</v>
      </c>
      <c r="E12" s="19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34" t="s">
        <v>307</v>
      </c>
      <c r="G12" s="197"/>
      <c r="H12" s="194"/>
      <c r="J12" s="180">
        <v>0</v>
      </c>
    </row>
    <row r="13" spans="1:10" ht="23.25" customHeight="1">
      <c r="A13" s="38"/>
      <c r="B13" s="185"/>
      <c r="C13" s="38"/>
      <c r="D13" s="195" t="s">
        <v>110</v>
      </c>
      <c r="E13" s="198" t="str">
        <f>"Наименование юридического лица"&amp;IF(TEMPLATE_SPHERE="TKO"," (индивидуального предпринимателя)","")</f>
        <v>Наименование юридического лица</v>
      </c>
      <c r="F13" s="199"/>
      <c r="G13" s="19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94"/>
      <c r="J13" s="180">
        <v>22</v>
      </c>
    </row>
    <row r="14" spans="1:10" ht="22.5" hidden="1" customHeight="1">
      <c r="A14" s="38"/>
      <c r="B14" s="185"/>
      <c r="C14" s="38"/>
      <c r="D14" s="191" t="s">
        <v>308</v>
      </c>
      <c r="E14" s="200" t="s">
        <v>309</v>
      </c>
      <c r="F14" s="193" t="str">
        <f>IF(inn="","",inn)</f>
        <v>7728493770</v>
      </c>
      <c r="G14" s="192" t="s">
        <v>310</v>
      </c>
      <c r="H14" s="194"/>
      <c r="J14" s="180">
        <v>0</v>
      </c>
    </row>
    <row r="15" spans="1:10" ht="22.5" hidden="1" customHeight="1">
      <c r="A15" s="38"/>
      <c r="B15" s="185"/>
      <c r="C15" s="38"/>
      <c r="D15" s="191" t="s">
        <v>311</v>
      </c>
      <c r="E15" s="200" t="s">
        <v>312</v>
      </c>
      <c r="F15" s="193" t="str">
        <f>IF(kpp="","",kpp)</f>
        <v>772801001</v>
      </c>
      <c r="G15" s="192" t="s">
        <v>313</v>
      </c>
      <c r="H15" s="194"/>
      <c r="J15" s="180">
        <v>0</v>
      </c>
    </row>
    <row r="16" spans="1:10" ht="39" customHeight="1">
      <c r="A16" s="38"/>
      <c r="B16" s="185"/>
      <c r="C16" s="38"/>
      <c r="D16" s="195" t="s">
        <v>111</v>
      </c>
      <c r="E16" s="1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99"/>
      <c r="G16" s="19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94"/>
      <c r="J16" s="180">
        <v>37</v>
      </c>
    </row>
    <row r="17" spans="1:10" ht="23.25" customHeight="1">
      <c r="A17" s="38"/>
      <c r="B17" s="185"/>
      <c r="C17" s="38"/>
      <c r="D17" s="195" t="s">
        <v>90</v>
      </c>
      <c r="E17" s="198" t="str">
        <f>"Дата присвоения ОГРН"&amp;IF(TEMPLATE_SPHERE="TKO",""," (ОГРНИП)")</f>
        <v>Дата присвоения ОГРН (ОГРНИП)</v>
      </c>
      <c r="F17" s="35" t="s">
        <v>22</v>
      </c>
      <c r="G17" s="196" t="str">
        <f>"Дата присвоения ОГРН"&amp;IF(TEMPLATE_SPHERE="TKO",""," (ОГРНИП)")&amp;" указывается в виде «ДД.ММ.ГГГГ»."</f>
        <v>Дата присвоения ОГРН (ОГРНИП) указывается в виде «ДД.ММ.ГГГГ».</v>
      </c>
      <c r="H17" s="194"/>
      <c r="J17" s="180">
        <v>22</v>
      </c>
    </row>
    <row r="18" spans="1:10" ht="71.25" customHeight="1">
      <c r="A18" s="38"/>
      <c r="B18" s="185"/>
      <c r="C18" s="38"/>
      <c r="D18" s="195" t="s">
        <v>91</v>
      </c>
      <c r="E18" s="1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99"/>
      <c r="G18" s="197"/>
      <c r="H18" s="194"/>
      <c r="J18" s="180">
        <v>68</v>
      </c>
    </row>
    <row r="19" spans="1:10" ht="22.5" hidden="1" customHeight="1">
      <c r="A19" s="1067" t="s">
        <v>314</v>
      </c>
      <c r="B19" s="185"/>
      <c r="C19" s="1077"/>
      <c r="D19" s="195" t="str">
        <f>A19</f>
        <v>5.1</v>
      </c>
      <c r="E19" s="198" t="s">
        <v>315</v>
      </c>
      <c r="F19" s="134" t="s">
        <v>307</v>
      </c>
      <c r="G19" s="196" t="s">
        <v>316</v>
      </c>
      <c r="H19" s="194"/>
      <c r="J19" s="180">
        <v>0</v>
      </c>
    </row>
    <row r="20" spans="1:10" ht="24" hidden="1" customHeight="1">
      <c r="A20" s="1067"/>
      <c r="B20" s="185"/>
      <c r="C20" s="1077"/>
      <c r="D20" s="203" t="str">
        <f>D19&amp;".1"</f>
        <v>5.1.1</v>
      </c>
      <c r="E20" s="204" t="s">
        <v>317</v>
      </c>
      <c r="F20" s="205" t="s">
        <v>22</v>
      </c>
      <c r="G20" s="197"/>
      <c r="H20" s="194"/>
      <c r="J20" s="180">
        <v>0</v>
      </c>
    </row>
    <row r="21" spans="1:10" ht="22.5" hidden="1" customHeight="1">
      <c r="A21" s="1067"/>
      <c r="B21" s="185"/>
      <c r="C21" s="1077"/>
      <c r="D21" s="203" t="str">
        <f>D19&amp;".2"</f>
        <v>5.1.2</v>
      </c>
      <c r="E21" s="204" t="s">
        <v>318</v>
      </c>
      <c r="F21" s="44" t="s">
        <v>22</v>
      </c>
      <c r="G21" s="196" t="s">
        <v>319</v>
      </c>
      <c r="H21" s="194"/>
      <c r="J21" s="180">
        <v>0</v>
      </c>
    </row>
    <row r="22" spans="1:10" ht="22.5" hidden="1" customHeight="1">
      <c r="A22" s="1067"/>
      <c r="B22" s="185"/>
      <c r="C22" s="1077"/>
      <c r="D22" s="203" t="str">
        <f>D19&amp;".3"</f>
        <v>5.1.3</v>
      </c>
      <c r="E22" s="204" t="s">
        <v>320</v>
      </c>
      <c r="F22" s="205" t="s">
        <v>22</v>
      </c>
      <c r="G22" s="197"/>
      <c r="H22" s="194"/>
      <c r="J22" s="180">
        <v>0</v>
      </c>
    </row>
    <row r="23" spans="1:10" ht="22.5" hidden="1" customHeight="1">
      <c r="A23" s="1067"/>
      <c r="B23" s="185"/>
      <c r="C23" s="1077"/>
      <c r="D23" s="203" t="str">
        <f>D19&amp;".4"</f>
        <v>5.1.4</v>
      </c>
      <c r="E23" s="204" t="s">
        <v>321</v>
      </c>
      <c r="F23" s="205" t="s">
        <v>22</v>
      </c>
      <c r="G23" s="196" t="s">
        <v>322</v>
      </c>
      <c r="H23" s="194"/>
      <c r="J23" s="180">
        <v>0</v>
      </c>
    </row>
    <row r="24" spans="1:10" ht="22.5" hidden="1" customHeight="1">
      <c r="A24" s="206"/>
      <c r="B24" s="185"/>
      <c r="C24" s="207"/>
      <c r="D24" s="208"/>
      <c r="E24" s="100" t="s">
        <v>323</v>
      </c>
      <c r="F24" s="209"/>
      <c r="G24" s="210"/>
      <c r="H24" s="194"/>
      <c r="J24" s="180">
        <v>0</v>
      </c>
    </row>
    <row r="25" spans="1:10" ht="24.75" hidden="1" customHeight="1">
      <c r="A25" s="38"/>
      <c r="B25" s="185"/>
      <c r="C25" s="185"/>
      <c r="D25" s="211" t="s">
        <v>90</v>
      </c>
      <c r="E25" s="212" t="s">
        <v>324</v>
      </c>
      <c r="F25" s="89" t="s">
        <v>307</v>
      </c>
      <c r="G25" s="212"/>
      <c r="J25" s="181">
        <v>0</v>
      </c>
    </row>
    <row r="26" spans="1:10" ht="11.25" hidden="1" customHeight="1">
      <c r="A26" s="38"/>
      <c r="B26" s="185"/>
      <c r="C26" s="185"/>
      <c r="D26" s="211" t="s">
        <v>325</v>
      </c>
      <c r="E26" s="213" t="s">
        <v>326</v>
      </c>
      <c r="F26" s="89" t="s">
        <v>307</v>
      </c>
      <c r="G26" s="212"/>
      <c r="J26" s="181">
        <v>0</v>
      </c>
    </row>
    <row r="27" spans="1:10" ht="11.25" hidden="1" customHeight="1">
      <c r="A27" s="38"/>
      <c r="B27" s="185"/>
      <c r="C27" s="185"/>
      <c r="D27" s="211" t="s">
        <v>327</v>
      </c>
      <c r="E27" s="214" t="s">
        <v>328</v>
      </c>
      <c r="F27" s="215"/>
      <c r="G27" s="2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81">
        <v>0</v>
      </c>
    </row>
    <row r="28" spans="1:10" ht="11.25" hidden="1" customHeight="1">
      <c r="A28" s="38"/>
      <c r="B28" s="185"/>
      <c r="C28" s="185"/>
      <c r="D28" s="211" t="s">
        <v>329</v>
      </c>
      <c r="E28" s="214" t="s">
        <v>330</v>
      </c>
      <c r="F28" s="215"/>
      <c r="G28" s="2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81">
        <v>0</v>
      </c>
    </row>
    <row r="29" spans="1:10" ht="11.25" hidden="1" customHeight="1">
      <c r="A29" s="38"/>
      <c r="B29" s="185"/>
      <c r="C29" s="185"/>
      <c r="D29" s="211" t="s">
        <v>331</v>
      </c>
      <c r="E29" s="214" t="s">
        <v>332</v>
      </c>
      <c r="F29" s="215"/>
      <c r="G29" s="2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81">
        <v>0</v>
      </c>
    </row>
    <row r="30" spans="1:10" ht="11.25" hidden="1" customHeight="1">
      <c r="A30" s="38"/>
      <c r="B30" s="185"/>
      <c r="C30" s="185"/>
      <c r="D30" s="211" t="s">
        <v>333</v>
      </c>
      <c r="E30" s="213" t="s">
        <v>334</v>
      </c>
      <c r="F30" s="215"/>
      <c r="G30" s="212"/>
      <c r="J30" s="181">
        <v>0</v>
      </c>
    </row>
    <row r="31" spans="1:10" ht="11.25" hidden="1" customHeight="1">
      <c r="A31" s="38"/>
      <c r="B31" s="185"/>
      <c r="C31" s="185"/>
      <c r="D31" s="211" t="s">
        <v>335</v>
      </c>
      <c r="E31" s="213" t="s">
        <v>336</v>
      </c>
      <c r="F31" s="215"/>
      <c r="G31" s="212"/>
      <c r="J31" s="181">
        <v>0</v>
      </c>
    </row>
    <row r="32" spans="1:10" ht="11.25" hidden="1" customHeight="1">
      <c r="A32" s="38"/>
      <c r="B32" s="185"/>
      <c r="C32" s="185"/>
      <c r="D32" s="211" t="s">
        <v>337</v>
      </c>
      <c r="E32" s="213" t="s">
        <v>338</v>
      </c>
      <c r="F32" s="215"/>
      <c r="G32" s="212"/>
      <c r="J32" s="181">
        <v>0</v>
      </c>
    </row>
    <row r="33" spans="1:10" ht="24" customHeight="1">
      <c r="A33" s="38" t="str">
        <f>IF(TEMPLATE_SPHERE="HEAT","6","5")</f>
        <v>6</v>
      </c>
      <c r="B33" s="185"/>
      <c r="C33" s="38"/>
      <c r="D33" s="203" t="str">
        <f>A33</f>
        <v>6</v>
      </c>
      <c r="E33" s="2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34" t="s">
        <v>307</v>
      </c>
      <c r="G33" s="197"/>
      <c r="H33" s="194"/>
      <c r="J33" s="180">
        <v>23</v>
      </c>
    </row>
    <row r="34" spans="1:10" ht="23.25" customHeight="1">
      <c r="A34" s="38"/>
      <c r="B34" s="185"/>
      <c r="C34" s="38"/>
      <c r="D34" s="203" t="str">
        <f>D33&amp;".1"</f>
        <v>6.1</v>
      </c>
      <c r="E34" s="198" t="str">
        <f>"фамилия"&amp;IF(TEMPLATE_SPHERE&lt;&gt;"HEAT"," руководителя","")</f>
        <v>фамилия</v>
      </c>
      <c r="F34" s="199"/>
      <c r="G34" s="19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94"/>
      <c r="J34" s="180">
        <v>22</v>
      </c>
    </row>
    <row r="35" spans="1:10" ht="23.25" customHeight="1">
      <c r="A35" s="38"/>
      <c r="B35" s="185"/>
      <c r="C35" s="38"/>
      <c r="D35" s="203" t="str">
        <f>D33&amp;".2"</f>
        <v>6.2</v>
      </c>
      <c r="E35" s="198" t="str">
        <f>"имя"&amp;IF(TEMPLATE_SPHERE&lt;&gt;"HEAT"," руководителя","")</f>
        <v>имя</v>
      </c>
      <c r="F35" s="199"/>
      <c r="G35" s="19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94"/>
      <c r="J35" s="180">
        <v>22</v>
      </c>
    </row>
    <row r="36" spans="1:10" ht="24" customHeight="1">
      <c r="A36" s="38"/>
      <c r="B36" s="185"/>
      <c r="C36" s="38"/>
      <c r="D36" s="203" t="str">
        <f>D33&amp;".3"</f>
        <v>6.3</v>
      </c>
      <c r="E36" s="198" t="str">
        <f>"отчество"&amp;IF(TEMPLATE_SPHERE&lt;&gt;"HEAT"," руководителя","")</f>
        <v>отчество</v>
      </c>
      <c r="F36" s="217"/>
      <c r="G36" s="19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94"/>
      <c r="J36" s="180">
        <v>23</v>
      </c>
    </row>
    <row r="37" spans="1:10" ht="35.65" customHeight="1">
      <c r="A37" s="38"/>
      <c r="B37" s="185"/>
      <c r="C37" s="38"/>
      <c r="D37" s="203">
        <f>D33+1</f>
        <v>7</v>
      </c>
      <c r="E37" s="2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99"/>
      <c r="G37" s="196" t="s">
        <v>339</v>
      </c>
      <c r="H37" s="194"/>
      <c r="J37" s="180">
        <v>34</v>
      </c>
    </row>
    <row r="38" spans="1:10" ht="35.65" customHeight="1">
      <c r="A38" s="38"/>
      <c r="B38" s="185"/>
      <c r="C38" s="38"/>
      <c r="D38" s="203">
        <f>D37+1</f>
        <v>8</v>
      </c>
      <c r="E38" s="2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99"/>
      <c r="G38" s="196" t="s">
        <v>339</v>
      </c>
      <c r="H38" s="194"/>
      <c r="J38" s="180">
        <v>34</v>
      </c>
    </row>
    <row r="39" spans="1:10" ht="23.25" customHeight="1">
      <c r="A39" s="38"/>
      <c r="B39" s="185"/>
      <c r="C39" s="38"/>
      <c r="D39" s="203">
        <f>D38+1</f>
        <v>9</v>
      </c>
      <c r="E39" s="21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34" t="s">
        <v>307</v>
      </c>
      <c r="G39" s="10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94"/>
      <c r="J39" s="180">
        <v>22</v>
      </c>
    </row>
    <row r="40" spans="1:10" ht="22.5" hidden="1" customHeight="1">
      <c r="A40" s="38"/>
      <c r="B40" s="185"/>
      <c r="C40" s="38"/>
      <c r="D40" s="203" t="str">
        <f>D39&amp;".0"</f>
        <v>9.0</v>
      </c>
      <c r="E40" s="219"/>
      <c r="F40" s="205"/>
      <c r="G40" s="1075"/>
      <c r="H40" s="194"/>
      <c r="J40" s="180">
        <v>0</v>
      </c>
    </row>
    <row r="41" spans="1:10" ht="23.25" customHeight="1">
      <c r="A41" s="38"/>
      <c r="B41" s="38"/>
      <c r="C41" s="220"/>
      <c r="D41" s="203" t="str">
        <f>D39&amp;".1"</f>
        <v>9.1</v>
      </c>
      <c r="E41" s="221"/>
      <c r="F41" s="222"/>
      <c r="G41" s="1075"/>
      <c r="H41" s="194"/>
      <c r="J41" s="180">
        <v>22</v>
      </c>
    </row>
    <row r="42" spans="1:10" ht="15.75" customHeight="1">
      <c r="A42" s="38"/>
      <c r="B42" s="185"/>
      <c r="C42" s="38"/>
      <c r="D42" s="208"/>
      <c r="E42" s="100" t="s">
        <v>340</v>
      </c>
      <c r="F42" s="210"/>
      <c r="G42" s="1076"/>
      <c r="H42" s="223"/>
      <c r="J42" s="180">
        <v>15</v>
      </c>
    </row>
    <row r="43" spans="1:10" ht="27.4" customHeight="1">
      <c r="A43" s="38"/>
      <c r="B43" s="185"/>
      <c r="C43" s="38"/>
      <c r="D43" s="203">
        <f>D39+1</f>
        <v>10</v>
      </c>
      <c r="E43" s="2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24"/>
      <c r="G43" s="19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94"/>
      <c r="J43" s="180">
        <v>26</v>
      </c>
    </row>
    <row r="44" spans="1:10" ht="23.25" customHeight="1">
      <c r="A44" s="38"/>
      <c r="B44" s="185"/>
      <c r="C44" s="38"/>
      <c r="D44" s="203">
        <f>D43+1</f>
        <v>11</v>
      </c>
      <c r="E44" s="2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25"/>
      <c r="G44" s="197" t="s">
        <v>341</v>
      </c>
      <c r="H44" s="194"/>
      <c r="J44" s="180">
        <v>22</v>
      </c>
    </row>
    <row r="45" spans="1:10" ht="23.25" customHeight="1">
      <c r="A45" s="38"/>
      <c r="B45" s="185"/>
      <c r="C45" s="38"/>
      <c r="D45" s="203">
        <f>D44+1</f>
        <v>12</v>
      </c>
      <c r="E45" s="216" t="s">
        <v>342</v>
      </c>
      <c r="F45" s="134" t="s">
        <v>307</v>
      </c>
      <c r="G45" s="218" t="str">
        <f>IF(TEMPLATE_SPHERE="TKO","Указывается режим работы организации.","")</f>
        <v/>
      </c>
      <c r="H45" s="194"/>
      <c r="J45" s="180">
        <v>22</v>
      </c>
    </row>
    <row r="46" spans="1:10" ht="24" customHeight="1">
      <c r="A46" s="38"/>
      <c r="B46" s="185"/>
      <c r="C46" s="38"/>
      <c r="D46" s="203" t="str">
        <f>D45&amp;".1"</f>
        <v>12.1</v>
      </c>
      <c r="E46" s="198" t="str">
        <f>"режим работы регулируемой организации"&amp;IF(TEMPLATE_SPHERE="HEAT",", ЕТО, ТО","")</f>
        <v>режим работы регулируемой организации, ЕТО, ТО</v>
      </c>
      <c r="F46" s="226"/>
      <c r="G46" s="218" t="s">
        <v>343</v>
      </c>
      <c r="H46" s="194"/>
      <c r="J46" s="180">
        <v>23</v>
      </c>
    </row>
    <row r="47" spans="1:10" ht="24" customHeight="1">
      <c r="A47" s="1067"/>
      <c r="B47" s="185"/>
      <c r="C47" s="207"/>
      <c r="D47" s="203" t="str">
        <f>D45&amp;".2"</f>
        <v>12.2</v>
      </c>
      <c r="E47" s="198" t="s">
        <v>344</v>
      </c>
      <c r="F47" s="226"/>
      <c r="G47" s="218" t="s">
        <v>345</v>
      </c>
      <c r="H47" s="194"/>
      <c r="J47" s="180">
        <v>23</v>
      </c>
    </row>
    <row r="48" spans="1:10" ht="24" customHeight="1">
      <c r="A48" s="1067"/>
      <c r="B48" s="185"/>
      <c r="C48" s="207"/>
      <c r="D48" s="203" t="str">
        <f>D45&amp;".3"</f>
        <v>12.3</v>
      </c>
      <c r="E48" s="198" t="s">
        <v>346</v>
      </c>
      <c r="F48" s="226"/>
      <c r="G48" s="218" t="s">
        <v>347</v>
      </c>
      <c r="H48" s="194"/>
      <c r="J48" s="180">
        <v>23</v>
      </c>
    </row>
    <row r="49" spans="1:10" ht="24" customHeight="1">
      <c r="A49" s="1067"/>
      <c r="B49" s="185"/>
      <c r="C49" s="207"/>
      <c r="D49" s="203" t="str">
        <f>IF(TEMPLATE_SPHERE="TKO",D45&amp;".0",D45&amp;".4")</f>
        <v>12.4</v>
      </c>
      <c r="E49" s="227" t="s">
        <v>348</v>
      </c>
      <c r="F49" s="228"/>
      <c r="G49" s="229" t="s">
        <v>349</v>
      </c>
      <c r="H49" s="194"/>
      <c r="J49" s="180">
        <v>23</v>
      </c>
    </row>
    <row r="50" spans="1:10" ht="24" customHeight="1">
      <c r="A50" s="38"/>
      <c r="B50" s="185"/>
      <c r="C50" s="38"/>
      <c r="D50" s="208"/>
      <c r="E50" s="100" t="s">
        <v>350</v>
      </c>
      <c r="F50" s="209"/>
      <c r="G50" s="229" t="s">
        <v>351</v>
      </c>
      <c r="H50" s="223"/>
      <c r="J50" s="180">
        <v>23</v>
      </c>
    </row>
    <row r="51" spans="1:10" ht="24" customHeight="1">
      <c r="A51" s="201"/>
      <c r="B51" s="185"/>
      <c r="C51" s="207"/>
      <c r="D51" s="203">
        <f>D45+1</f>
        <v>13</v>
      </c>
      <c r="E51" s="230" t="s">
        <v>352</v>
      </c>
      <c r="F51" s="226"/>
      <c r="G51" s="23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94"/>
      <c r="J51" s="180">
        <v>23</v>
      </c>
    </row>
    <row r="52" spans="1:10" ht="11.45" customHeight="1">
      <c r="A52" s="38"/>
      <c r="B52" s="185"/>
      <c r="C52" s="38"/>
      <c r="J52" s="180">
        <v>11</v>
      </c>
    </row>
    <row r="53" spans="1:10" ht="31.5" customHeight="1">
      <c r="C53" s="964"/>
      <c r="D53" s="10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964"/>
      <c r="F53" s="964"/>
      <c r="G53" s="964"/>
      <c r="J53" s="232">
        <v>30</v>
      </c>
    </row>
    <row r="54" spans="1:10" ht="42" customHeight="1">
      <c r="A54" s="38"/>
      <c r="B54" s="185"/>
      <c r="C54" s="964"/>
      <c r="D54" s="10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964"/>
      <c r="F54" s="964"/>
      <c r="G54" s="964"/>
      <c r="J54" s="232">
        <v>40</v>
      </c>
    </row>
    <row r="55" spans="1:10" ht="11.45" customHeight="1">
      <c r="D55" s="233"/>
      <c r="E55" s="234"/>
      <c r="F55" s="234"/>
      <c r="G55" s="234"/>
      <c r="J55" s="180">
        <v>11</v>
      </c>
    </row>
    <row r="56" spans="1:10" ht="28.5" customHeight="1">
      <c r="D56" s="235"/>
      <c r="E56" s="233"/>
      <c r="F56" s="236"/>
      <c r="G56" s="236"/>
      <c r="J56" s="180">
        <v>27</v>
      </c>
    </row>
    <row r="57" spans="1:10" ht="11.45" customHeight="1">
      <c r="D57" s="233"/>
      <c r="E57" s="233"/>
      <c r="F57" s="234"/>
      <c r="G57" s="234"/>
      <c r="J57" s="180">
        <v>11</v>
      </c>
    </row>
    <row r="58" spans="1:10" ht="40.9" customHeight="1">
      <c r="D58" s="237"/>
      <c r="E58" s="238"/>
      <c r="F58" s="238"/>
      <c r="G58" s="238"/>
      <c r="J58" s="180">
        <v>39</v>
      </c>
    </row>
    <row r="59" spans="1:10" ht="28.5" customHeight="1">
      <c r="D59" s="237"/>
      <c r="E59" s="238"/>
      <c r="F59" s="238"/>
      <c r="G59" s="238"/>
      <c r="J59" s="180">
        <v>27</v>
      </c>
    </row>
    <row r="60" spans="1:10" ht="11.25" hidden="1" customHeight="1">
      <c r="A60" s="179" t="s">
        <v>82</v>
      </c>
      <c r="B60" s="181">
        <v>0</v>
      </c>
      <c r="C60" s="180">
        <v>3</v>
      </c>
      <c r="D60" s="239">
        <v>6</v>
      </c>
      <c r="E60" s="180">
        <v>52</v>
      </c>
      <c r="F60" s="180">
        <v>48</v>
      </c>
      <c r="G60" s="180">
        <v>121</v>
      </c>
      <c r="H60" s="180">
        <v>8</v>
      </c>
      <c r="I60" s="180">
        <v>64</v>
      </c>
      <c r="J60" s="18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0DDE-8862-98F7-3904-31C83CDEA945}">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2" width="9.140625" hidden="1" customWidth="1"/>
    <col min="3" max="3" width="3" customWidth="1"/>
    <col min="4" max="4" width="5" customWidth="1"/>
    <col min="5" max="5" width="48" customWidth="1"/>
    <col min="6" max="6" width="38" customWidth="1"/>
    <col min="7" max="7" width="1.7109375" hidden="1" customWidth="1"/>
    <col min="8" max="11" width="19.85546875" customWidth="1"/>
    <col min="12" max="12" width="9.7109375" customWidth="1"/>
    <col min="13" max="18" width="19.85546875" customWidth="1"/>
    <col min="19" max="19" width="1.7109375" hidden="1" customWidth="1"/>
    <col min="20" max="22" width="19.85546875" hidden="1" customWidth="1"/>
    <col min="23" max="23" width="1.7109375" hidden="1" customWidth="1"/>
    <col min="24" max="26" width="19.85546875" hidden="1" customWidth="1"/>
    <col min="27" max="27" width="1.7109375" hidden="1" customWidth="1"/>
    <col min="28" max="29" width="19.85546875" hidden="1" customWidth="1"/>
    <col min="30" max="30" width="1.7109375" hidden="1" customWidth="1"/>
    <col min="31" max="31" width="103.7109375" customWidth="1"/>
    <col min="32" max="34" width="103.7109375" hidden="1" customWidth="1"/>
    <col min="35" max="35" width="3" customWidth="1"/>
    <col min="36" max="38" width="10" customWidth="1"/>
    <col min="39" max="39" width="13.7109375" hidden="1" customWidth="1"/>
    <col min="40" max="40" width="15" customWidth="1"/>
    <col min="41" max="41" width="16" customWidth="1"/>
    <col min="42" max="45" width="10" customWidth="1"/>
    <col min="46" max="46" width="10.5703125" hidden="1"/>
  </cols>
  <sheetData>
    <row r="1" spans="3:46" ht="22.5" hidden="1" customHeight="1">
      <c r="H1" s="1090" t="s">
        <v>353</v>
      </c>
      <c r="I1" s="964"/>
      <c r="J1" s="964"/>
      <c r="K1" s="964"/>
      <c r="L1" s="964"/>
      <c r="M1" s="964"/>
      <c r="N1" s="964"/>
      <c r="O1" s="964"/>
      <c r="P1" s="964"/>
      <c r="Q1" s="964"/>
      <c r="R1" s="964"/>
      <c r="T1" s="1090" t="s">
        <v>354</v>
      </c>
      <c r="U1" s="964"/>
      <c r="V1" s="964"/>
      <c r="X1" s="1090" t="s">
        <v>355</v>
      </c>
      <c r="Y1" s="964"/>
      <c r="Z1" s="964"/>
      <c r="AB1" s="1090" t="s">
        <v>356</v>
      </c>
      <c r="AC1" s="964"/>
      <c r="AT1" s="17" t="s">
        <v>14</v>
      </c>
    </row>
    <row r="2" spans="3:46" ht="14.25" hidden="1" customHeight="1">
      <c r="AT2" s="17">
        <v>0</v>
      </c>
    </row>
    <row r="3" spans="3:46" ht="5.25" customHeight="1">
      <c r="C3" s="241"/>
      <c r="D3" s="242"/>
      <c r="E3" s="242"/>
      <c r="F3" s="242"/>
      <c r="G3" s="242"/>
      <c r="H3" s="242" t="s">
        <v>357</v>
      </c>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T3" s="243">
        <v>5</v>
      </c>
    </row>
    <row r="4" spans="3:46" ht="39.75" customHeight="1">
      <c r="C4" s="220"/>
      <c r="D4" s="103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038"/>
      <c r="F4" s="1038"/>
      <c r="G4" s="1038"/>
      <c r="H4" s="1038"/>
      <c r="I4" s="1038"/>
      <c r="J4" s="1038"/>
      <c r="K4" s="1038"/>
      <c r="L4" s="1038"/>
      <c r="M4" s="1038"/>
      <c r="N4" s="1038"/>
      <c r="O4" s="1038"/>
      <c r="P4" s="1038"/>
      <c r="Q4" s="1038"/>
      <c r="R4" s="1039"/>
      <c r="AT4" s="17">
        <v>38</v>
      </c>
    </row>
    <row r="5" spans="3:46" ht="18" customHeight="1">
      <c r="C5" s="220"/>
      <c r="D5" s="1087" t="str">
        <f>IF(org=0,"Не определено",org)</f>
        <v>ООО "ТВС"</v>
      </c>
      <c r="E5" s="1088"/>
      <c r="F5" s="1088"/>
      <c r="G5" s="1088"/>
      <c r="H5" s="1088"/>
      <c r="I5" s="1088"/>
      <c r="J5" s="1088"/>
      <c r="K5" s="1088"/>
      <c r="L5" s="1088"/>
      <c r="M5" s="1088"/>
      <c r="N5" s="1088"/>
      <c r="O5" s="1088"/>
      <c r="P5" s="1088"/>
      <c r="Q5" s="1088"/>
      <c r="R5" s="1089"/>
      <c r="AT5" s="17">
        <v>17</v>
      </c>
    </row>
    <row r="6" spans="3:46" ht="11.45" customHeight="1">
      <c r="C6" s="245"/>
      <c r="R6" s="184"/>
      <c r="S6" s="184"/>
      <c r="AT6" s="19">
        <v>11</v>
      </c>
    </row>
    <row r="7" spans="3:46" ht="14.65" customHeight="1">
      <c r="C7" s="220"/>
      <c r="D7" s="1078" t="s">
        <v>301</v>
      </c>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2"/>
      <c r="AE7" s="1044" t="s">
        <v>302</v>
      </c>
      <c r="AF7" s="1044" t="s">
        <v>302</v>
      </c>
      <c r="AG7" s="1044" t="s">
        <v>302</v>
      </c>
      <c r="AH7" s="1044" t="s">
        <v>302</v>
      </c>
      <c r="AT7" s="17">
        <v>14</v>
      </c>
    </row>
    <row r="8" spans="3:46" ht="27.4" customHeight="1">
      <c r="C8" s="220"/>
      <c r="D8" s="995" t="s">
        <v>88</v>
      </c>
      <c r="E8" s="1044" t="str">
        <f>"Наименование "&amp;IF(TEMPLATE_SPHERE&lt;&gt;"HEAT","централизованной ","")&amp;"системы "&amp;TEMPLATE_SPHERE_RUS</f>
        <v>Наименование системы теплоснабжения</v>
      </c>
      <c r="F8" s="1044" t="str">
        <f>IF(TEMPLATE_SPHERE&lt;&gt;"HEAT","Регулируемый вид деятельности","Вид регулируемой деятельности")</f>
        <v>Вид регулируемой деятельности</v>
      </c>
      <c r="G8" s="248"/>
      <c r="H8" s="1079" t="s">
        <v>358</v>
      </c>
      <c r="I8" s="1083" t="s">
        <v>359</v>
      </c>
      <c r="J8" s="1044" t="s">
        <v>360</v>
      </c>
      <c r="K8" s="1044"/>
      <c r="L8" s="1044"/>
      <c r="M8" s="1078"/>
      <c r="N8" s="1044" t="s">
        <v>361</v>
      </c>
      <c r="O8" s="1044"/>
      <c r="P8" s="1044" t="s">
        <v>362</v>
      </c>
      <c r="Q8" s="1044"/>
      <c r="R8" s="1081" t="s">
        <v>363</v>
      </c>
      <c r="S8" s="249"/>
      <c r="T8" s="1079" t="s">
        <v>364</v>
      </c>
      <c r="U8" s="1079" t="s">
        <v>365</v>
      </c>
      <c r="V8" s="1079" t="s">
        <v>366</v>
      </c>
      <c r="W8" s="248"/>
      <c r="X8" s="1079" t="s">
        <v>367</v>
      </c>
      <c r="Y8" s="1079" t="s">
        <v>368</v>
      </c>
      <c r="Z8" s="1079" t="s">
        <v>369</v>
      </c>
      <c r="AA8" s="248"/>
      <c r="AB8" s="1079" t="s">
        <v>370</v>
      </c>
      <c r="AC8" s="1079" t="s">
        <v>363</v>
      </c>
      <c r="AD8" s="248"/>
      <c r="AE8" s="1044"/>
      <c r="AF8" s="1044"/>
      <c r="AG8" s="1044"/>
      <c r="AH8" s="1044"/>
      <c r="AT8" s="17">
        <v>26</v>
      </c>
    </row>
    <row r="9" spans="3:46" ht="46.15" customHeight="1">
      <c r="C9" s="220"/>
      <c r="D9" s="995"/>
      <c r="E9" s="1044"/>
      <c r="F9" s="1044"/>
      <c r="G9" s="250"/>
      <c r="H9" s="1080"/>
      <c r="I9" s="1084"/>
      <c r="J9" s="134" t="s">
        <v>371</v>
      </c>
      <c r="K9" s="134" t="s">
        <v>372</v>
      </c>
      <c r="L9" s="134" t="s">
        <v>373</v>
      </c>
      <c r="M9" s="246" t="s">
        <v>374</v>
      </c>
      <c r="N9" s="134" t="s">
        <v>375</v>
      </c>
      <c r="O9" s="134" t="s">
        <v>374</v>
      </c>
      <c r="P9" s="134" t="s">
        <v>376</v>
      </c>
      <c r="Q9" s="134" t="s">
        <v>374</v>
      </c>
      <c r="R9" s="1082"/>
      <c r="S9" s="251"/>
      <c r="T9" s="1080"/>
      <c r="U9" s="1080"/>
      <c r="V9" s="1080"/>
      <c r="W9" s="250"/>
      <c r="X9" s="1080"/>
      <c r="Y9" s="1080"/>
      <c r="Z9" s="1080"/>
      <c r="AA9" s="250"/>
      <c r="AB9" s="1080"/>
      <c r="AC9" s="1080"/>
      <c r="AD9" s="250"/>
      <c r="AE9" s="1044"/>
      <c r="AF9" s="1044"/>
      <c r="AG9" s="1044"/>
      <c r="AH9" s="1044"/>
      <c r="AT9" s="17">
        <v>44</v>
      </c>
    </row>
    <row r="10" spans="3:46" ht="12" hidden="1" customHeight="1">
      <c r="C10" s="252"/>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T10" s="17">
        <v>0</v>
      </c>
    </row>
    <row r="11" spans="3:46" ht="11.25" hidden="1" customHeight="1">
      <c r="C11" s="254"/>
      <c r="D11" s="255" t="s">
        <v>377</v>
      </c>
      <c r="E11" s="255"/>
      <c r="F11" s="255"/>
      <c r="G11" s="255"/>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7"/>
      <c r="AF11" s="257"/>
      <c r="AG11" s="257"/>
      <c r="AH11" s="257"/>
      <c r="AT11" s="258">
        <v>0</v>
      </c>
    </row>
    <row r="12" spans="3:46" ht="14.65" customHeight="1">
      <c r="C12" s="220"/>
      <c r="D12" s="259" t="s">
        <v>110</v>
      </c>
      <c r="E12" s="217" t="s">
        <v>22</v>
      </c>
      <c r="F12" s="260"/>
      <c r="G12" s="261"/>
      <c r="H12" s="262"/>
      <c r="I12" s="262"/>
      <c r="J12" s="263"/>
      <c r="K12" s="264"/>
      <c r="L12" s="265"/>
      <c r="M12" s="264"/>
      <c r="N12" s="263"/>
      <c r="O12" s="264"/>
      <c r="P12" s="263"/>
      <c r="Q12" s="264"/>
      <c r="R12" s="263"/>
      <c r="S12" s="266"/>
      <c r="T12" s="262"/>
      <c r="U12" s="263"/>
      <c r="V12" s="263"/>
      <c r="W12" s="250"/>
      <c r="X12" s="262"/>
      <c r="Y12" s="263"/>
      <c r="Z12" s="263"/>
      <c r="AA12" s="250"/>
      <c r="AB12" s="262"/>
      <c r="AC12" s="263"/>
      <c r="AD12" s="250"/>
      <c r="AE12" s="1085" t="s">
        <v>378</v>
      </c>
      <c r="AF12" s="1085" t="s">
        <v>379</v>
      </c>
      <c r="AG12" s="1085" t="s">
        <v>380</v>
      </c>
      <c r="AH12" s="1085" t="s">
        <v>381</v>
      </c>
      <c r="AP12" s="87" t="s">
        <v>382</v>
      </c>
      <c r="AQ12" s="87" t="s">
        <v>382</v>
      </c>
      <c r="AT12" s="17">
        <v>14</v>
      </c>
    </row>
    <row r="13" spans="3:46" ht="18" customHeight="1">
      <c r="C13" s="220"/>
      <c r="D13" s="267"/>
      <c r="E13" s="268" t="str">
        <f>IF(TITLE_DIFFERENTIATION_TYPE="нет","","Добавить систему")</f>
        <v/>
      </c>
      <c r="F13" s="268" t="str">
        <f>IF(TITLE_DIFFERENTIATION_TYPE="нет","Добавить вид деятельности","")</f>
        <v>Добавить вид деятельности</v>
      </c>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1"/>
      <c r="AE13" s="1086"/>
      <c r="AF13" s="1086"/>
      <c r="AG13" s="1086"/>
      <c r="AH13" s="1086"/>
      <c r="AT13" s="17">
        <v>17</v>
      </c>
    </row>
    <row r="14" spans="3:46" ht="14.65" customHeight="1">
      <c r="AT14" s="17">
        <v>14</v>
      </c>
    </row>
    <row r="15" spans="3:46" ht="14.65" customHeight="1">
      <c r="AT15" s="17">
        <v>14</v>
      </c>
    </row>
    <row r="16" spans="3:46" ht="14.65" customHeight="1">
      <c r="AT16" s="17">
        <v>14</v>
      </c>
    </row>
    <row r="17" spans="1:46" ht="14.65" customHeight="1">
      <c r="AT17" s="17">
        <v>14</v>
      </c>
    </row>
    <row r="18" spans="1:46" ht="22.5" hidden="1" customHeight="1">
      <c r="A18" s="15" t="s">
        <v>82</v>
      </c>
      <c r="B18" s="17">
        <v>0</v>
      </c>
      <c r="C18" s="109">
        <v>3</v>
      </c>
      <c r="D18" s="17">
        <v>5</v>
      </c>
      <c r="E18" s="17">
        <v>48</v>
      </c>
      <c r="F18" s="17">
        <v>38</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77">
        <v>3</v>
      </c>
      <c r="AJ18" s="75">
        <v>10</v>
      </c>
      <c r="AK18" s="75">
        <v>10</v>
      </c>
      <c r="AL18" s="75">
        <v>10</v>
      </c>
      <c r="AM18" s="75">
        <v>0</v>
      </c>
      <c r="AN18" s="75">
        <v>15</v>
      </c>
      <c r="AO18" s="75">
        <v>16</v>
      </c>
      <c r="AP18" s="75">
        <v>10</v>
      </c>
      <c r="AQ18" s="75">
        <v>10</v>
      </c>
      <c r="AR18" s="75">
        <v>10</v>
      </c>
      <c r="AS18" s="75">
        <v>10</v>
      </c>
      <c r="AT18" s="17">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F0D9-6F83-43AF-C3C1-C7ED6589794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2" width="9.140625" hidden="1" customWidth="1"/>
    <col min="3" max="3" width="3" customWidth="1"/>
    <col min="4" max="4" width="5" customWidth="1"/>
    <col min="5" max="5" width="38" customWidth="1"/>
    <col min="6" max="7" width="3" customWidth="1"/>
    <col min="8" max="8" width="38" customWidth="1"/>
    <col min="9" max="9" width="35" customWidth="1"/>
    <col min="10" max="10" width="103" customWidth="1"/>
    <col min="11" max="11" width="3" customWidth="1"/>
    <col min="12" max="14" width="10" customWidth="1"/>
    <col min="15" max="15" width="13" customWidth="1"/>
    <col min="16" max="16" width="15" customWidth="1"/>
    <col min="17" max="17" width="16" customWidth="1"/>
    <col min="18" max="21" width="10" customWidth="1"/>
    <col min="22" max="22" width="10.5703125" hidden="1"/>
  </cols>
  <sheetData>
    <row r="1" spans="3:22" ht="22.5" hidden="1" customHeight="1">
      <c r="H1" s="1090" t="s">
        <v>353</v>
      </c>
      <c r="I1" s="964"/>
      <c r="V1" s="17" t="s">
        <v>14</v>
      </c>
    </row>
    <row r="2" spans="3:22" ht="14.25" hidden="1" customHeight="1">
      <c r="C2" s="220"/>
      <c r="D2" s="1094" t="s">
        <v>110</v>
      </c>
      <c r="E2" s="1096"/>
      <c r="F2" s="272"/>
      <c r="G2" s="121" t="s">
        <v>110</v>
      </c>
      <c r="H2" s="273"/>
      <c r="I2" s="274"/>
      <c r="O2" s="75" t="s">
        <v>383</v>
      </c>
      <c r="R2" s="87" t="s">
        <v>382</v>
      </c>
      <c r="S2" s="87" t="s">
        <v>382</v>
      </c>
      <c r="V2" s="17">
        <v>0</v>
      </c>
    </row>
    <row r="3" spans="3:22" ht="14.25" hidden="1" customHeight="1">
      <c r="C3" s="220"/>
      <c r="D3" s="1095"/>
      <c r="E3" s="1097"/>
      <c r="F3" s="267"/>
      <c r="G3" s="268"/>
      <c r="H3" s="268" t="s">
        <v>384</v>
      </c>
      <c r="I3" s="269"/>
      <c r="V3" s="17">
        <v>0</v>
      </c>
    </row>
    <row r="4" spans="3:22" ht="14.25" hidden="1" customHeight="1">
      <c r="V4" s="17">
        <v>0</v>
      </c>
    </row>
    <row r="5" spans="3:22" ht="5.25" customHeight="1">
      <c r="C5" s="241"/>
      <c r="D5" s="242"/>
      <c r="E5" s="242"/>
      <c r="F5" s="242"/>
      <c r="G5" s="242"/>
      <c r="H5" s="242" t="s">
        <v>357</v>
      </c>
      <c r="I5" s="242"/>
      <c r="J5" s="242"/>
      <c r="V5" s="243">
        <v>5</v>
      </c>
    </row>
    <row r="6" spans="3:22" ht="29.25" customHeight="1">
      <c r="C6" s="220"/>
      <c r="D6" s="1093" t="s">
        <v>385</v>
      </c>
      <c r="E6" s="1093"/>
      <c r="F6" s="1093"/>
      <c r="G6" s="1093"/>
      <c r="H6" s="1093"/>
      <c r="I6" s="1093"/>
      <c r="V6" s="17">
        <v>28</v>
      </c>
    </row>
    <row r="7" spans="3:22" ht="18" customHeight="1">
      <c r="C7" s="220"/>
      <c r="D7" s="1066" t="str">
        <f>IF(org=0,"Не определено",org)</f>
        <v>ООО "ТВС"</v>
      </c>
      <c r="E7" s="1066"/>
      <c r="F7" s="1066"/>
      <c r="G7" s="1066"/>
      <c r="H7" s="1066"/>
      <c r="I7" s="1066"/>
      <c r="V7" s="17">
        <v>17</v>
      </c>
    </row>
    <row r="8" spans="3:22" ht="5.25" customHeight="1">
      <c r="C8" s="245"/>
      <c r="V8" s="19">
        <v>5</v>
      </c>
    </row>
    <row r="9" spans="3:22" ht="5.25" customHeight="1">
      <c r="C9" s="245"/>
      <c r="V9" s="19">
        <v>5</v>
      </c>
    </row>
    <row r="10" spans="3:22" ht="14.65" customHeight="1">
      <c r="C10" s="220"/>
      <c r="D10" s="1078" t="s">
        <v>301</v>
      </c>
      <c r="E10" s="1091"/>
      <c r="F10" s="1091"/>
      <c r="G10" s="1091"/>
      <c r="H10" s="1091"/>
      <c r="I10" s="1091"/>
      <c r="J10" s="1044" t="s">
        <v>302</v>
      </c>
      <c r="V10" s="17">
        <v>14</v>
      </c>
    </row>
    <row r="11" spans="3:22" ht="27.4" customHeight="1">
      <c r="C11" s="220"/>
      <c r="D11" s="995" t="s">
        <v>88</v>
      </c>
      <c r="E11" s="1044" t="s">
        <v>106</v>
      </c>
      <c r="F11" s="1047" t="s">
        <v>88</v>
      </c>
      <c r="G11" s="1048"/>
      <c r="H11" s="1046" t="s">
        <v>386</v>
      </c>
      <c r="I11" s="1046" t="s">
        <v>387</v>
      </c>
      <c r="J11" s="1044"/>
      <c r="V11" s="17">
        <v>26</v>
      </c>
    </row>
    <row r="12" spans="3:22" ht="14.65" customHeight="1">
      <c r="C12" s="220"/>
      <c r="D12" s="995"/>
      <c r="E12" s="1044"/>
      <c r="F12" s="1052"/>
      <c r="G12" s="1053"/>
      <c r="H12" s="1098"/>
      <c r="I12" s="1098"/>
      <c r="J12" s="1044"/>
      <c r="V12" s="17">
        <v>14</v>
      </c>
    </row>
    <row r="13" spans="3:22" ht="11.25" hidden="1" customHeight="1">
      <c r="C13" s="254"/>
      <c r="D13" s="255" t="s">
        <v>377</v>
      </c>
      <c r="E13" s="255"/>
      <c r="F13" s="255"/>
      <c r="G13" s="255"/>
      <c r="H13" s="256"/>
      <c r="I13" s="256"/>
      <c r="J13" s="257"/>
      <c r="V13" s="258">
        <v>0</v>
      </c>
    </row>
    <row r="14" spans="3:22" ht="14.65" customHeight="1">
      <c r="C14" s="220"/>
      <c r="D14" s="1094" t="s">
        <v>110</v>
      </c>
      <c r="E14" s="1096"/>
      <c r="F14" s="272"/>
      <c r="G14" s="121" t="s">
        <v>110</v>
      </c>
      <c r="H14" s="273"/>
      <c r="I14" s="274"/>
      <c r="J14" s="1031" t="s">
        <v>388</v>
      </c>
      <c r="R14" s="87" t="s">
        <v>382</v>
      </c>
      <c r="S14" s="87" t="s">
        <v>382</v>
      </c>
      <c r="V14" s="17">
        <v>14</v>
      </c>
    </row>
    <row r="15" spans="3:22" ht="14.65" customHeight="1">
      <c r="C15" s="220"/>
      <c r="D15" s="1095"/>
      <c r="E15" s="1097"/>
      <c r="F15" s="267"/>
      <c r="G15" s="268"/>
      <c r="H15" s="268" t="s">
        <v>384</v>
      </c>
      <c r="I15" s="269"/>
      <c r="J15" s="1032"/>
      <c r="V15" s="17">
        <v>14</v>
      </c>
    </row>
    <row r="16" spans="3:22" ht="14.65" customHeight="1">
      <c r="C16" s="220"/>
      <c r="D16" s="267"/>
      <c r="E16" s="268" t="s">
        <v>124</v>
      </c>
      <c r="F16" s="269"/>
      <c r="G16" s="269"/>
      <c r="H16" s="270"/>
      <c r="I16" s="270"/>
      <c r="J16" s="1033"/>
      <c r="V16" s="17">
        <v>14</v>
      </c>
    </row>
    <row r="17" spans="1:22" ht="14.65" customHeight="1">
      <c r="V17" s="17">
        <v>14</v>
      </c>
    </row>
    <row r="18" spans="1:22" ht="22.5" hidden="1" customHeight="1">
      <c r="A18" s="15" t="s">
        <v>82</v>
      </c>
      <c r="B18" s="17">
        <v>0</v>
      </c>
      <c r="C18" s="109">
        <v>3</v>
      </c>
      <c r="D18" s="17">
        <v>5</v>
      </c>
      <c r="E18" s="17">
        <v>38</v>
      </c>
      <c r="F18" s="17">
        <v>3</v>
      </c>
      <c r="G18" s="17">
        <v>3</v>
      </c>
      <c r="H18" s="17">
        <v>38</v>
      </c>
      <c r="I18" s="17">
        <v>35</v>
      </c>
      <c r="J18" s="17">
        <v>103</v>
      </c>
      <c r="K18" s="77">
        <v>3</v>
      </c>
      <c r="L18" s="75">
        <v>10</v>
      </c>
      <c r="M18" s="75">
        <v>10</v>
      </c>
      <c r="N18" s="75">
        <v>10</v>
      </c>
      <c r="O18" s="75">
        <v>13</v>
      </c>
      <c r="P18" s="75">
        <v>15</v>
      </c>
      <c r="Q18" s="75">
        <v>16</v>
      </c>
      <c r="R18" s="75">
        <v>10</v>
      </c>
      <c r="S18" s="75">
        <v>10</v>
      </c>
      <c r="T18" s="75">
        <v>10</v>
      </c>
      <c r="U18" s="75">
        <v>10</v>
      </c>
      <c r="V18" s="1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3E72-C5AA-32C7-2064-8D8463F4CDCD}">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3" width="9.140625" hidden="1" customWidth="1"/>
    <col min="4" max="4" width="3" customWidth="1"/>
    <col min="5" max="5" width="6" customWidth="1"/>
    <col min="6" max="6" width="1.7109375" hidden="1" customWidth="1"/>
    <col min="7" max="8" width="30" customWidth="1"/>
    <col min="9" max="9" width="8" customWidth="1"/>
    <col min="10" max="10" width="12.140625" customWidth="1"/>
    <col min="11" max="11" width="46" customWidth="1"/>
    <col min="12" max="12" width="100" customWidth="1"/>
    <col min="13" max="13" width="7" customWidth="1"/>
    <col min="14" max="22" width="10" customWidth="1"/>
    <col min="23" max="23" width="10.5703125" hidden="1"/>
  </cols>
  <sheetData>
    <row r="1" spans="1:23" ht="5.25" hidden="1" customHeight="1">
      <c r="G1" s="75" t="s">
        <v>83</v>
      </c>
      <c r="H1" s="75" t="s">
        <v>84</v>
      </c>
      <c r="I1" s="75" t="s">
        <v>85</v>
      </c>
      <c r="P1" s="75" t="s">
        <v>83</v>
      </c>
      <c r="Q1" s="75" t="s">
        <v>84</v>
      </c>
      <c r="R1" s="75" t="s">
        <v>85</v>
      </c>
      <c r="W1" s="75" t="s">
        <v>14</v>
      </c>
    </row>
    <row r="2" spans="1:23" ht="5.25" hidden="1" customHeight="1">
      <c r="W2" s="75">
        <v>0</v>
      </c>
    </row>
    <row r="3" spans="1:23" ht="5.25" customHeight="1">
      <c r="D3" s="245"/>
      <c r="E3" s="18"/>
      <c r="F3" s="18"/>
      <c r="G3" s="18"/>
      <c r="H3" s="18"/>
      <c r="I3" s="275"/>
      <c r="J3" s="276"/>
      <c r="K3" s="276"/>
      <c r="L3" s="276"/>
      <c r="W3" s="19">
        <v>5</v>
      </c>
    </row>
    <row r="4" spans="1:23" ht="23.25" customHeight="1">
      <c r="D4" s="220"/>
      <c r="E4" s="988" t="s">
        <v>389</v>
      </c>
      <c r="F4" s="988"/>
      <c r="G4" s="989"/>
      <c r="H4" s="989"/>
      <c r="I4" s="990"/>
      <c r="W4" s="17">
        <v>22</v>
      </c>
    </row>
    <row r="5" spans="1:23" ht="18" customHeight="1">
      <c r="D5" s="220"/>
      <c r="E5" s="1087" t="str">
        <f>IF(org=0,"Не определено",org)</f>
        <v>ООО "ТВС"</v>
      </c>
      <c r="F5" s="1087"/>
      <c r="G5" s="1088"/>
      <c r="H5" s="1088"/>
      <c r="I5" s="1089"/>
      <c r="W5" s="17">
        <v>17</v>
      </c>
    </row>
    <row r="6" spans="1:23" ht="11.45" customHeight="1">
      <c r="D6" s="245"/>
      <c r="E6" s="18"/>
      <c r="F6" s="18"/>
      <c r="K6" s="184"/>
      <c r="W6" s="19">
        <v>11</v>
      </c>
    </row>
    <row r="7" spans="1:23" ht="14.65" customHeight="1">
      <c r="D7" s="220"/>
      <c r="E7" s="1072" t="s">
        <v>301</v>
      </c>
      <c r="F7" s="1072"/>
      <c r="G7" s="1073"/>
      <c r="H7" s="1073"/>
      <c r="I7" s="1073"/>
      <c r="J7" s="1073"/>
      <c r="K7" s="1073"/>
      <c r="L7" s="1044" t="s">
        <v>302</v>
      </c>
      <c r="W7" s="17">
        <v>14</v>
      </c>
    </row>
    <row r="8" spans="1:23" ht="48.2" customHeight="1">
      <c r="D8" s="220"/>
      <c r="E8" s="189" t="s">
        <v>88</v>
      </c>
      <c r="F8" s="189"/>
      <c r="G8" s="88" t="s">
        <v>86</v>
      </c>
      <c r="H8" s="88" t="s">
        <v>87</v>
      </c>
      <c r="I8" s="134" t="s">
        <v>85</v>
      </c>
      <c r="J8" s="134" t="s">
        <v>390</v>
      </c>
      <c r="K8" s="134" t="s">
        <v>391</v>
      </c>
      <c r="L8" s="1044"/>
      <c r="W8" s="17">
        <v>46</v>
      </c>
    </row>
    <row r="9" spans="1:23" ht="12" hidden="1" customHeight="1">
      <c r="D9" s="252"/>
      <c r="E9" s="277"/>
      <c r="F9" s="277"/>
      <c r="G9" s="277"/>
      <c r="H9" s="277"/>
      <c r="I9" s="277"/>
      <c r="J9" s="277"/>
      <c r="K9" s="277"/>
      <c r="L9" s="277"/>
      <c r="W9" s="17">
        <v>0</v>
      </c>
    </row>
    <row r="10" spans="1:23" ht="14.25" hidden="1" customHeight="1">
      <c r="D10" s="220"/>
      <c r="E10" s="88">
        <v>0</v>
      </c>
      <c r="F10" s="88"/>
      <c r="G10" s="278"/>
      <c r="H10" s="278"/>
      <c r="I10" s="278"/>
      <c r="J10" s="278"/>
      <c r="K10" s="278"/>
      <c r="L10" s="1085" t="s">
        <v>392</v>
      </c>
      <c r="W10" s="17">
        <v>0</v>
      </c>
    </row>
    <row r="11" spans="1:23" ht="15" hidden="1" customHeight="1">
      <c r="A11" s="964"/>
      <c r="D11" s="279"/>
      <c r="E11" s="280"/>
      <c r="F11" s="280"/>
      <c r="G11" s="280"/>
      <c r="H11" s="280"/>
      <c r="I11" s="117"/>
      <c r="J11" s="281"/>
      <c r="K11" s="282"/>
      <c r="L11" s="1099"/>
      <c r="W11" s="17">
        <v>0</v>
      </c>
    </row>
    <row r="12" spans="1:23" ht="15" customHeight="1">
      <c r="A12" s="964"/>
      <c r="D12" s="283"/>
      <c r="E12" s="189">
        <v>1</v>
      </c>
      <c r="F12" s="284">
        <v>23</v>
      </c>
      <c r="G12" s="285"/>
      <c r="H12" s="95"/>
      <c r="I12" s="96"/>
      <c r="J12" s="286" t="s">
        <v>66</v>
      </c>
      <c r="K12" s="287" t="s">
        <v>22</v>
      </c>
      <c r="L12" s="1099"/>
      <c r="P12" s="288" t="s">
        <v>393</v>
      </c>
      <c r="Q12" s="288" t="s">
        <v>394</v>
      </c>
      <c r="R12" s="289" t="s">
        <v>395</v>
      </c>
      <c r="S12" s="75" t="s">
        <v>396</v>
      </c>
      <c r="W12" s="19">
        <v>14</v>
      </c>
    </row>
    <row r="13" spans="1:23" ht="15.75" customHeight="1">
      <c r="A13" s="964"/>
      <c r="D13" s="220"/>
      <c r="E13" s="267"/>
      <c r="F13" s="290"/>
      <c r="G13" s="105" t="s">
        <v>103</v>
      </c>
      <c r="H13" s="291"/>
      <c r="I13" s="291"/>
      <c r="J13" s="291"/>
      <c r="K13" s="292"/>
      <c r="L13" s="1086"/>
      <c r="W13" s="17">
        <v>15</v>
      </c>
    </row>
    <row r="14" spans="1:23" ht="11.45" customHeight="1">
      <c r="W14" s="17">
        <v>11</v>
      </c>
    </row>
    <row r="15" spans="1:23" ht="14.65" customHeight="1">
      <c r="G15" s="29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W15" s="17">
        <v>14</v>
      </c>
    </row>
    <row r="16" spans="1:23" ht="14.65" customHeight="1">
      <c r="W16" s="17">
        <v>14</v>
      </c>
    </row>
    <row r="17" spans="1:23" ht="14.65" customHeight="1">
      <c r="W17" s="17">
        <v>14</v>
      </c>
    </row>
    <row r="18" spans="1:23" ht="14.65" customHeight="1">
      <c r="W18" s="17">
        <v>14</v>
      </c>
    </row>
    <row r="19" spans="1:23" ht="22.5" hidden="1" customHeight="1">
      <c r="A19" s="15" t="s">
        <v>82</v>
      </c>
      <c r="B19" s="17">
        <v>0</v>
      </c>
      <c r="C19" s="17">
        <v>0</v>
      </c>
      <c r="D19" s="109">
        <v>3</v>
      </c>
      <c r="E19" s="17">
        <v>6</v>
      </c>
      <c r="F19" s="17">
        <v>0</v>
      </c>
      <c r="G19" s="17">
        <v>30</v>
      </c>
      <c r="H19" s="17">
        <v>30</v>
      </c>
      <c r="I19" s="17">
        <v>8</v>
      </c>
      <c r="J19" s="17">
        <v>12</v>
      </c>
      <c r="K19" s="17">
        <v>46</v>
      </c>
      <c r="L19" s="17">
        <v>100</v>
      </c>
      <c r="M19" s="77">
        <v>7</v>
      </c>
      <c r="N19" s="17">
        <v>10</v>
      </c>
      <c r="O19" s="17">
        <v>10</v>
      </c>
      <c r="P19" s="17">
        <v>10</v>
      </c>
      <c r="Q19" s="17">
        <v>10</v>
      </c>
      <c r="R19" s="17">
        <v>10</v>
      </c>
      <c r="S19" s="17">
        <v>10</v>
      </c>
      <c r="T19" s="17">
        <v>10</v>
      </c>
      <c r="U19" s="17">
        <v>10</v>
      </c>
      <c r="V19" s="17">
        <v>10</v>
      </c>
      <c r="W19" s="17">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1566-6C0E-E641-E056-BD8D0583636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c r="AS1" s="17" t="s">
        <v>14</v>
      </c>
    </row>
    <row r="2" spans="5:45" ht="21" hidden="1" customHeight="1">
      <c r="E2" s="1111">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12"/>
      <c r="F4" s="1112"/>
      <c r="G4" s="1111">
        <v>1</v>
      </c>
      <c r="Q4" s="300"/>
      <c r="R4" s="301"/>
      <c r="S4" s="295" t="e">
        <f>INDEX(PT_DIFFERENTIATION_NUM_CS,MATCH(C4,PT_DIFFERENTIATION_CS_ID,0))</f>
        <v>#N/A</v>
      </c>
      <c r="T4" s="303" t="s">
        <v>400</v>
      </c>
      <c r="U4" s="297"/>
      <c r="V4" s="1106"/>
      <c r="W4" s="1107"/>
      <c r="X4" s="1107"/>
      <c r="Y4" s="1107"/>
      <c r="Z4" s="1107"/>
      <c r="AA4" s="1107"/>
      <c r="AB4" s="1107"/>
      <c r="AC4" s="1108"/>
      <c r="AD4" s="1106" t="e">
        <f>INDEX(PT_DIFFERENTIATION_CS,MATCH(C4,PT_DIFFERENTIATION_CS_ID,0))</f>
        <v>#N/A</v>
      </c>
      <c r="AE4" s="1107"/>
      <c r="AF4" s="1107"/>
      <c r="AG4" s="1107"/>
      <c r="AH4" s="1107"/>
      <c r="AI4" s="1107"/>
      <c r="AJ4" s="1107"/>
      <c r="AK4" s="1107"/>
      <c r="AL4" s="1108"/>
      <c r="AM4" s="299" t="s">
        <v>401</v>
      </c>
      <c r="AP4" s="87" t="str">
        <f t="shared" si="0"/>
        <v xml:space="preserve">Наименование системы теплоснабжения </v>
      </c>
      <c r="AS4" s="17">
        <v>0</v>
      </c>
    </row>
    <row r="5" spans="5:45" ht="21" hidden="1" customHeight="1">
      <c r="E5" s="1112"/>
      <c r="F5" s="1112"/>
      <c r="G5" s="1112"/>
      <c r="H5" s="1111">
        <v>1</v>
      </c>
      <c r="Q5" s="300"/>
      <c r="R5" s="301"/>
      <c r="S5" s="295" t="e">
        <f>INDEX(PT_DIFFERENTIATION_NUM_IST_TE,MATCH(D5,PT_DIFFERENTIATION_IST_TE_ID,0))</f>
        <v>#N/A</v>
      </c>
      <c r="T5" s="304" t="s">
        <v>402</v>
      </c>
      <c r="U5" s="297"/>
      <c r="V5" s="1106"/>
      <c r="W5" s="1107"/>
      <c r="X5" s="1107"/>
      <c r="Y5" s="1107"/>
      <c r="Z5" s="1107"/>
      <c r="AA5" s="1107"/>
      <c r="AB5" s="1107"/>
      <c r="AC5" s="1108"/>
      <c r="AD5" s="1106" t="e">
        <f>INDEX(PT_DIFFERENTIATION_IST_TE,MATCH(D5,PT_DIFFERENTIATION_IST_TE_ID,0))</f>
        <v>#N/A</v>
      </c>
      <c r="AE5" s="1107"/>
      <c r="AF5" s="1107"/>
      <c r="AG5" s="1107"/>
      <c r="AH5" s="1107"/>
      <c r="AI5" s="1107"/>
      <c r="AJ5" s="1107"/>
      <c r="AK5" s="1107"/>
      <c r="AL5" s="1108"/>
      <c r="AM5" s="299" t="s">
        <v>403</v>
      </c>
      <c r="AP5" s="87" t="str">
        <f t="shared" si="0"/>
        <v xml:space="preserve">Источник тепловой энергии  </v>
      </c>
      <c r="AS5" s="17">
        <v>0</v>
      </c>
    </row>
    <row r="6" spans="5:45" ht="47.25" hidden="1" customHeight="1">
      <c r="E6" s="1112"/>
      <c r="F6" s="1112"/>
      <c r="G6" s="1112"/>
      <c r="H6" s="1112"/>
      <c r="I6" s="1113" t="e">
        <f>S5&amp;".1"</f>
        <v>#N/A</v>
      </c>
      <c r="L6" s="306" t="s">
        <v>404</v>
      </c>
      <c r="P6" s="1115">
        <v>1</v>
      </c>
      <c r="R6" s="307"/>
      <c r="S6" s="295" t="e">
        <f>$I6</f>
        <v>#N/A</v>
      </c>
      <c r="T6" s="308" t="s">
        <v>405</v>
      </c>
      <c r="U6" s="297"/>
      <c r="V6" s="1100"/>
      <c r="W6" s="1101"/>
      <c r="X6" s="1101"/>
      <c r="Y6" s="1101"/>
      <c r="Z6" s="1101"/>
      <c r="AA6" s="1101"/>
      <c r="AB6" s="1101"/>
      <c r="AC6" s="1102"/>
      <c r="AD6" s="1100"/>
      <c r="AE6" s="1101"/>
      <c r="AF6" s="1101"/>
      <c r="AG6" s="1101"/>
      <c r="AH6" s="1101"/>
      <c r="AI6" s="1101"/>
      <c r="AJ6" s="1101"/>
      <c r="AK6" s="1101"/>
      <c r="AL6" s="1102"/>
      <c r="AM6" s="299" t="s">
        <v>406</v>
      </c>
      <c r="AP6" s="87" t="str">
        <f t="shared" si="0"/>
        <v>Схема подключения теплопотребляющей установки к коллектору источника тепловой энергии</v>
      </c>
      <c r="AS6" s="17">
        <v>0</v>
      </c>
    </row>
    <row r="7" spans="5:45" ht="21" hidden="1" customHeight="1">
      <c r="E7" s="1112"/>
      <c r="F7" s="1112"/>
      <c r="G7" s="1112"/>
      <c r="H7" s="1112"/>
      <c r="I7" s="1114"/>
      <c r="J7" s="1113" t="e">
        <f>I6&amp;".1"</f>
        <v>#N/A</v>
      </c>
      <c r="L7" s="306" t="s">
        <v>407</v>
      </c>
      <c r="P7" s="964"/>
      <c r="Q7" s="1115">
        <v>1</v>
      </c>
      <c r="R7" s="309"/>
      <c r="S7" s="295" t="e">
        <f>$J7</f>
        <v>#N/A</v>
      </c>
      <c r="T7" s="310" t="s">
        <v>408</v>
      </c>
      <c r="U7" s="297"/>
      <c r="V7" s="1100"/>
      <c r="W7" s="1101"/>
      <c r="X7" s="1101"/>
      <c r="Y7" s="1101"/>
      <c r="Z7" s="1101"/>
      <c r="AA7" s="1101"/>
      <c r="AB7" s="1101"/>
      <c r="AC7" s="1102"/>
      <c r="AD7" s="1100"/>
      <c r="AE7" s="1101"/>
      <c r="AF7" s="1101"/>
      <c r="AG7" s="1101"/>
      <c r="AH7" s="1101"/>
      <c r="AI7" s="1101"/>
      <c r="AJ7" s="1101"/>
      <c r="AK7" s="1101"/>
      <c r="AL7" s="1102"/>
      <c r="AM7" s="299" t="s">
        <v>409</v>
      </c>
      <c r="AP7" s="87" t="str">
        <f t="shared" si="0"/>
        <v>Группа потребителей</v>
      </c>
      <c r="AS7" s="17">
        <v>0</v>
      </c>
    </row>
    <row r="8" spans="5:45" ht="21" hidden="1" customHeight="1">
      <c r="E8" s="1112"/>
      <c r="F8" s="1112"/>
      <c r="G8" s="1112"/>
      <c r="H8" s="1112"/>
      <c r="I8" s="1114"/>
      <c r="J8" s="1114"/>
      <c r="K8" s="1113" t="e">
        <f>J7&amp;".1"</f>
        <v>#N/A</v>
      </c>
      <c r="L8" s="306" t="s">
        <v>410</v>
      </c>
      <c r="P8" s="964"/>
      <c r="Q8" s="964"/>
      <c r="R8" s="309">
        <v>1</v>
      </c>
      <c r="S8" s="295" t="e">
        <f>$K8</f>
        <v>#N/A</v>
      </c>
      <c r="T8" s="311"/>
      <c r="U8" s="297"/>
      <c r="V8" s="312"/>
      <c r="W8" s="313"/>
      <c r="X8" s="312"/>
      <c r="Y8" s="314"/>
      <c r="Z8" s="1116"/>
      <c r="AA8" s="1004" t="s">
        <v>66</v>
      </c>
      <c r="AB8" s="1116"/>
      <c r="AC8" s="1004" t="s">
        <v>66</v>
      </c>
      <c r="AD8" s="312"/>
      <c r="AE8" s="313"/>
      <c r="AF8" s="312"/>
      <c r="AG8" s="314"/>
      <c r="AH8" s="1116"/>
      <c r="AI8" s="1004" t="s">
        <v>66</v>
      </c>
      <c r="AJ8" s="1116"/>
      <c r="AK8" s="1004" t="s">
        <v>66</v>
      </c>
      <c r="AL8" s="313"/>
      <c r="AM8" s="1134" t="s">
        <v>411</v>
      </c>
      <c r="AN8" s="75" t="e">
        <f ca="1">STRCHECKDATE(V9:AL9)</f>
        <v>#NAME?</v>
      </c>
      <c r="AP8" s="87" t="str">
        <f t="shared" si="0"/>
        <v/>
      </c>
      <c r="AS8" s="17">
        <v>0</v>
      </c>
    </row>
    <row r="9" spans="5:45" ht="0.75" hidden="1" customHeight="1">
      <c r="E9" s="1112"/>
      <c r="F9" s="1112"/>
      <c r="G9" s="1112"/>
      <c r="H9" s="1112"/>
      <c r="I9" s="1114"/>
      <c r="J9" s="1114"/>
      <c r="K9" s="1113"/>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5" hidden="1" customHeight="1">
      <c r="E10" s="1112"/>
      <c r="F10" s="1112"/>
      <c r="G10" s="1112"/>
      <c r="H10" s="1112"/>
      <c r="I10" s="1114"/>
      <c r="J10" s="1113"/>
      <c r="P10" s="964"/>
      <c r="Q10" s="964"/>
      <c r="R10" s="307"/>
      <c r="S10" s="318"/>
      <c r="T10" s="319"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5" hidden="1" customHeight="1">
      <c r="E11" s="1112"/>
      <c r="F11" s="1112"/>
      <c r="G11" s="1112"/>
      <c r="H11" s="1112"/>
      <c r="I11" s="1113"/>
      <c r="P11" s="964"/>
      <c r="R11" s="307"/>
      <c r="S11" s="318"/>
      <c r="T11" s="321"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14.25" hidden="1" customHeight="1">
      <c r="E12" s="1112"/>
      <c r="F12" s="1112"/>
      <c r="G12" s="1112"/>
      <c r="H12" s="1111"/>
      <c r="R12" s="294"/>
      <c r="S12" s="318"/>
      <c r="T12" s="324" t="s">
        <v>414</v>
      </c>
      <c r="U12" s="117"/>
      <c r="V12" s="117"/>
      <c r="W12" s="117"/>
      <c r="X12" s="117"/>
      <c r="Y12" s="117"/>
      <c r="Z12" s="117"/>
      <c r="AA12" s="117"/>
      <c r="AB12" s="117"/>
      <c r="AC12" s="322"/>
      <c r="AD12" s="117"/>
      <c r="AE12" s="117"/>
      <c r="AF12" s="117"/>
      <c r="AG12" s="117"/>
      <c r="AH12" s="117"/>
      <c r="AI12" s="117"/>
      <c r="AJ12" s="117"/>
      <c r="AK12" s="322"/>
      <c r="AL12" s="117"/>
      <c r="AM12" s="323"/>
      <c r="AP12" s="87" t="str">
        <f t="shared" si="0"/>
        <v>Добавить схему подключения</v>
      </c>
      <c r="AS12" s="17">
        <v>0</v>
      </c>
    </row>
    <row r="13" spans="5:45" ht="0.75" hidden="1" customHeight="1">
      <c r="E13" s="1112"/>
      <c r="F13" s="1112"/>
      <c r="G13" s="1111"/>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0.75" hidden="1" customHeight="1">
      <c r="E14" s="1112"/>
      <c r="F14" s="1111"/>
      <c r="T14" s="328" t="s">
        <v>416</v>
      </c>
      <c r="AP14" s="87" t="str">
        <f t="shared" si="0"/>
        <v>Добавить централизованную систему для дифференциации</v>
      </c>
      <c r="AS14" s="75">
        <v>0</v>
      </c>
    </row>
    <row r="15" spans="5:45" ht="0.75" hidden="1" customHeight="1">
      <c r="E15" s="1111"/>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22.5" hidden="1" customHeight="1">
      <c r="O20" s="332" t="s">
        <v>418</v>
      </c>
      <c r="Z20" s="332"/>
      <c r="AB20" s="332"/>
      <c r="AH20" s="332"/>
      <c r="AJ20" s="332"/>
      <c r="AS20" s="37">
        <v>0</v>
      </c>
    </row>
    <row r="21" spans="15:45" ht="14.25" hidden="1" customHeight="1">
      <c r="AS21" s="37">
        <v>0</v>
      </c>
    </row>
    <row r="22" spans="15:45" ht="14.25" hidden="1" customHeight="1">
      <c r="O22" s="306"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14.65" customHeight="1">
      <c r="Q26" s="333"/>
      <c r="R26" s="333"/>
      <c r="S26" s="10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093"/>
      <c r="U26" s="1093"/>
      <c r="V26" s="1093"/>
      <c r="W26" s="1093"/>
      <c r="X26" s="1093"/>
      <c r="Y26" s="1093"/>
      <c r="Z26" s="1093"/>
      <c r="AA26" s="1093"/>
      <c r="AB26" s="1093"/>
      <c r="AC26" s="1093"/>
      <c r="AD26" s="1093"/>
      <c r="AE26" s="1093"/>
      <c r="AF26" s="1093"/>
      <c r="AG26" s="1093"/>
      <c r="AH26" s="1093"/>
      <c r="AI26" s="1093"/>
      <c r="AJ26" s="1093"/>
      <c r="AS26" s="17">
        <v>14</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18.7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26"/>
      <c r="Y39" s="1126"/>
      <c r="Z39" s="1126"/>
      <c r="AA39" s="1126"/>
      <c r="AB39" s="1127"/>
      <c r="AC39" s="1128" t="s">
        <v>431</v>
      </c>
      <c r="AD39" s="1125" t="s">
        <v>430</v>
      </c>
      <c r="AE39" s="1126"/>
      <c r="AF39" s="1126"/>
      <c r="AG39" s="1126"/>
      <c r="AH39" s="1126"/>
      <c r="AI39" s="1126"/>
      <c r="AJ39" s="1127"/>
      <c r="AK39" s="1128" t="s">
        <v>432</v>
      </c>
      <c r="AL39" s="1131" t="s">
        <v>433</v>
      </c>
      <c r="AM39" s="995"/>
      <c r="AS39" s="17">
        <v>14</v>
      </c>
    </row>
    <row r="40" spans="1:45" ht="35.65" customHeight="1">
      <c r="Q40" s="333"/>
      <c r="R40" s="333"/>
      <c r="S40" s="1124"/>
      <c r="T40" s="1073"/>
      <c r="U40" s="343"/>
      <c r="V40" s="1046" t="s">
        <v>434</v>
      </c>
      <c r="W40" s="1120" t="s">
        <v>435</v>
      </c>
      <c r="X40" s="977" t="s">
        <v>436</v>
      </c>
      <c r="Y40" s="976"/>
      <c r="Z40" s="977" t="s">
        <v>437</v>
      </c>
      <c r="AA40" s="982"/>
      <c r="AB40" s="976"/>
      <c r="AC40" s="1129"/>
      <c r="AD40" s="1046" t="s">
        <v>434</v>
      </c>
      <c r="AE40" s="1120" t="s">
        <v>435</v>
      </c>
      <c r="AF40" s="977" t="s">
        <v>436</v>
      </c>
      <c r="AG40" s="976"/>
      <c r="AH40" s="977" t="s">
        <v>437</v>
      </c>
      <c r="AI40" s="982"/>
      <c r="AJ40" s="976"/>
      <c r="AK40" s="1129"/>
      <c r="AL40" s="1132"/>
      <c r="AM40" s="995"/>
      <c r="AS40" s="17">
        <v>34</v>
      </c>
    </row>
    <row r="41" spans="1:45" ht="35.65" customHeight="1">
      <c r="B41" s="126" t="s">
        <v>138</v>
      </c>
      <c r="C41" s="126" t="s">
        <v>139</v>
      </c>
      <c r="D41" s="126" t="s">
        <v>140</v>
      </c>
      <c r="E41" s="306" t="s">
        <v>438</v>
      </c>
      <c r="F41" s="306" t="s">
        <v>439</v>
      </c>
      <c r="G41" s="306" t="s">
        <v>440</v>
      </c>
      <c r="H41" s="306" t="s">
        <v>441</v>
      </c>
      <c r="I41" s="306" t="s">
        <v>442</v>
      </c>
      <c r="J41" s="306" t="s">
        <v>443</v>
      </c>
      <c r="K41" s="306" t="s">
        <v>444</v>
      </c>
      <c r="L41" s="306" t="s">
        <v>419</v>
      </c>
      <c r="Q41" s="333"/>
      <c r="R41" s="333"/>
      <c r="S41" s="1124"/>
      <c r="T41" s="1073"/>
      <c r="U41" s="344"/>
      <c r="V41" s="1098"/>
      <c r="W41" s="1121"/>
      <c r="X41" s="134" t="s">
        <v>445</v>
      </c>
      <c r="Y41" s="134" t="s">
        <v>446</v>
      </c>
      <c r="Z41" s="134" t="s">
        <v>447</v>
      </c>
      <c r="AA41" s="1078" t="s">
        <v>448</v>
      </c>
      <c r="AB41" s="1092"/>
      <c r="AC41" s="1130"/>
      <c r="AD41" s="1098"/>
      <c r="AE41" s="1121"/>
      <c r="AF41" s="134" t="s">
        <v>445</v>
      </c>
      <c r="AG41" s="134" t="s">
        <v>446</v>
      </c>
      <c r="AH41" s="134" t="s">
        <v>447</v>
      </c>
      <c r="AI41" s="1078" t="s">
        <v>448</v>
      </c>
      <c r="AJ41" s="1092"/>
      <c r="AK41" s="1130"/>
      <c r="AL41" s="1133"/>
      <c r="AM41" s="995"/>
      <c r="AS41" s="17">
        <v>34</v>
      </c>
    </row>
    <row r="42" spans="1:45" ht="11.25" hidden="1" customHeight="1">
      <c r="Q42" s="347"/>
      <c r="R42" s="348">
        <v>1</v>
      </c>
      <c r="S42" s="349" t="s">
        <v>110</v>
      </c>
      <c r="T42" s="350" t="s">
        <v>111</v>
      </c>
      <c r="U42" s="351" t="str">
        <f ca="1">OFFSET(U42,0,-1)</f>
        <v>2</v>
      </c>
      <c r="V42" s="352">
        <f ca="1">OFFSET(V42,0,-1)+1</f>
        <v>3</v>
      </c>
      <c r="W42" s="352"/>
      <c r="X42" s="352">
        <f ca="1">OFFSET(X42,0,-1)+1</f>
        <v>1</v>
      </c>
      <c r="Y42" s="352">
        <f ca="1">OFFSET(Y42,0,-1)+1</f>
        <v>2</v>
      </c>
      <c r="Z42" s="352">
        <f ca="1">OFFSET(Z42,0,-1)+1</f>
        <v>3</v>
      </c>
      <c r="AA42" s="1122">
        <f ca="1">OFFSET(AA42,0,-1)+1</f>
        <v>4</v>
      </c>
      <c r="AB42" s="1122"/>
      <c r="AC42" s="352">
        <f ca="1">OFFSET(AC42,0,-2)+1</f>
        <v>5</v>
      </c>
      <c r="AD42" s="352">
        <f ca="1">OFFSET(AD42,0,-1)+1</f>
        <v>6</v>
      </c>
      <c r="AE42" s="352"/>
      <c r="AF42" s="352">
        <f ca="1">OFFSET(AF42,0,-1)+1</f>
        <v>1</v>
      </c>
      <c r="AG42" s="352">
        <f ca="1">OFFSET(AG42,0,-1)+1</f>
        <v>2</v>
      </c>
      <c r="AH42" s="352">
        <f ca="1">OFFSET(AH42,0,-1)+1</f>
        <v>3</v>
      </c>
      <c r="AI42" s="1122">
        <f ca="1">OFFSET(AI42,0,-1)+1</f>
        <v>4</v>
      </c>
      <c r="AJ42" s="1122"/>
      <c r="AK42" s="352">
        <f ca="1">OFFSET(AK42,0,-2)+1</f>
        <v>5</v>
      </c>
      <c r="AL42" s="351">
        <f ca="1">OFFSET(AL42,0,-1)</f>
        <v>5</v>
      </c>
      <c r="AM42" s="352">
        <f ca="1">OFFSET(AM42,0,-1)+1</f>
        <v>6</v>
      </c>
      <c r="AS42" s="258">
        <v>0</v>
      </c>
    </row>
    <row r="43" spans="1:45" ht="24" customHeight="1">
      <c r="A43" s="353" t="s">
        <v>159</v>
      </c>
      <c r="E43" s="1111">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23</v>
      </c>
    </row>
    <row r="44" spans="1:45" ht="24" customHeight="1">
      <c r="A44" s="353" t="s">
        <v>159</v>
      </c>
      <c r="B44" s="353" t="s">
        <v>160</v>
      </c>
      <c r="E44" s="1112"/>
      <c r="F44" s="1111">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23</v>
      </c>
    </row>
    <row r="45" spans="1:45" ht="24" customHeight="1">
      <c r="A45" s="353" t="s">
        <v>159</v>
      </c>
      <c r="B45" s="353" t="s">
        <v>160</v>
      </c>
      <c r="C45" s="353" t="s">
        <v>161</v>
      </c>
      <c r="E45" s="1112"/>
      <c r="F45" s="1112"/>
      <c r="G45" s="1111">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4" customHeight="1">
      <c r="A46" s="353" t="s">
        <v>159</v>
      </c>
      <c r="B46" s="353" t="s">
        <v>160</v>
      </c>
      <c r="C46" s="353" t="s">
        <v>161</v>
      </c>
      <c r="D46" s="353" t="s">
        <v>162</v>
      </c>
      <c r="E46" s="1112"/>
      <c r="F46" s="1112"/>
      <c r="G46" s="1112"/>
      <c r="H46" s="1111">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23</v>
      </c>
    </row>
    <row r="47" spans="1:45" ht="49.5" customHeight="1">
      <c r="A47" s="353" t="s">
        <v>159</v>
      </c>
      <c r="B47" s="353" t="s">
        <v>160</v>
      </c>
      <c r="C47" s="353" t="s">
        <v>161</v>
      </c>
      <c r="D47" s="353" t="s">
        <v>162</v>
      </c>
      <c r="E47" s="1112"/>
      <c r="F47" s="1112"/>
      <c r="G47" s="1112"/>
      <c r="H47" s="1112"/>
      <c r="I47" s="1113" t="str">
        <f>S46&amp;".1"</f>
        <v>....1</v>
      </c>
      <c r="L47" s="306" t="s">
        <v>404</v>
      </c>
      <c r="P47" s="1115">
        <v>1</v>
      </c>
      <c r="R47" s="307"/>
      <c r="S47" s="295" t="str">
        <f>$I47</f>
        <v>....1</v>
      </c>
      <c r="T47" s="308" t="s">
        <v>405</v>
      </c>
      <c r="U47" s="297"/>
      <c r="V47" s="1100"/>
      <c r="W47" s="1101"/>
      <c r="X47" s="1101"/>
      <c r="Y47" s="1101"/>
      <c r="Z47" s="1101"/>
      <c r="AA47" s="1101"/>
      <c r="AB47" s="1101"/>
      <c r="AC47" s="1102"/>
      <c r="AD47" s="1100"/>
      <c r="AE47" s="1101"/>
      <c r="AF47" s="1101"/>
      <c r="AG47" s="1101"/>
      <c r="AH47" s="1101"/>
      <c r="AI47" s="1101"/>
      <c r="AJ47" s="1101"/>
      <c r="AK47" s="1101"/>
      <c r="AL47" s="1102"/>
      <c r="AM47" s="299" t="s">
        <v>406</v>
      </c>
      <c r="AP47" s="87" t="str">
        <f t="shared" si="1"/>
        <v>Схема подключения теплопотребляющей установки к коллектору источника тепловой энергии</v>
      </c>
      <c r="AS47" s="17">
        <v>47</v>
      </c>
    </row>
    <row r="48" spans="1:45" ht="24" customHeight="1">
      <c r="A48" s="353" t="s">
        <v>159</v>
      </c>
      <c r="B48" s="353" t="s">
        <v>160</v>
      </c>
      <c r="C48" s="353" t="s">
        <v>161</v>
      </c>
      <c r="D48" s="353" t="s">
        <v>162</v>
      </c>
      <c r="E48" s="1112"/>
      <c r="F48" s="1112"/>
      <c r="G48" s="1112"/>
      <c r="H48" s="1112"/>
      <c r="I48" s="1114"/>
      <c r="J48" s="1113" t="str">
        <f>I47&amp;".1"</f>
        <v>....1.1</v>
      </c>
      <c r="L48" s="306" t="s">
        <v>407</v>
      </c>
      <c r="P48" s="964"/>
      <c r="Q48" s="1115">
        <v>1</v>
      </c>
      <c r="R48" s="309"/>
      <c r="S48" s="295" t="str">
        <f>$J48</f>
        <v>....1.1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23</v>
      </c>
    </row>
    <row r="49" spans="1:45" ht="24" customHeight="1">
      <c r="A49" s="353" t="s">
        <v>159</v>
      </c>
      <c r="B49" s="353" t="s">
        <v>160</v>
      </c>
      <c r="C49" s="353" t="s">
        <v>161</v>
      </c>
      <c r="D49" s="353" t="s">
        <v>162</v>
      </c>
      <c r="E49" s="1112"/>
      <c r="F49" s="1112"/>
      <c r="G49" s="1112"/>
      <c r="H49" s="1112"/>
      <c r="I49" s="1114"/>
      <c r="J49" s="1114"/>
      <c r="K49" s="1113" t="str">
        <f>J48&amp;".1"</f>
        <v>....1.1.1</v>
      </c>
      <c r="L49" s="306" t="s">
        <v>410</v>
      </c>
      <c r="P49" s="964"/>
      <c r="Q49" s="964"/>
      <c r="R49" s="309">
        <v>1</v>
      </c>
      <c r="S49" s="295" t="str">
        <f>$K49</f>
        <v>....1.1.1</v>
      </c>
      <c r="T49" s="311"/>
      <c r="U49" s="297"/>
      <c r="V49" s="312"/>
      <c r="W49" s="313"/>
      <c r="X49" s="312"/>
      <c r="Y49" s="314"/>
      <c r="Z49" s="1116"/>
      <c r="AA49" s="1004" t="s">
        <v>66</v>
      </c>
      <c r="AB49" s="1116"/>
      <c r="AC49" s="1004" t="s">
        <v>66</v>
      </c>
      <c r="AD49" s="312"/>
      <c r="AE49" s="313"/>
      <c r="AF49" s="312"/>
      <c r="AG49" s="314"/>
      <c r="AH49" s="1116"/>
      <c r="AI49" s="1004" t="s">
        <v>66</v>
      </c>
      <c r="AJ49" s="1118"/>
      <c r="AK49" s="1004" t="s">
        <v>66</v>
      </c>
      <c r="AL49" s="354"/>
      <c r="AM49" s="1134" t="s">
        <v>411</v>
      </c>
      <c r="AN49" s="75" t="e">
        <f ca="1">STRCHECKDATE(V50:AL50)</f>
        <v>#NAME?</v>
      </c>
      <c r="AP49" s="87" t="str">
        <f t="shared" si="1"/>
        <v/>
      </c>
      <c r="AS49" s="17">
        <v>23</v>
      </c>
    </row>
    <row r="50" spans="1:45" ht="1.1499999999999999" customHeight="1">
      <c r="A50" s="353" t="s">
        <v>159</v>
      </c>
      <c r="B50" s="353" t="s">
        <v>160</v>
      </c>
      <c r="C50" s="353" t="s">
        <v>161</v>
      </c>
      <c r="D50" s="353" t="s">
        <v>162</v>
      </c>
      <c r="E50" s="1112"/>
      <c r="F50" s="1112"/>
      <c r="G50" s="1112"/>
      <c r="H50" s="1112"/>
      <c r="I50" s="1114"/>
      <c r="J50" s="1114"/>
      <c r="K50" s="1113"/>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1</v>
      </c>
    </row>
    <row r="51" spans="1:45" ht="11.45" customHeight="1">
      <c r="A51" s="353" t="s">
        <v>159</v>
      </c>
      <c r="B51" s="353" t="s">
        <v>160</v>
      </c>
      <c r="C51" s="353" t="s">
        <v>161</v>
      </c>
      <c r="D51" s="353" t="s">
        <v>162</v>
      </c>
      <c r="E51" s="1112"/>
      <c r="F51" s="1112"/>
      <c r="G51" s="1112"/>
      <c r="H51" s="1112"/>
      <c r="I51" s="1114"/>
      <c r="J51" s="1113"/>
      <c r="P51" s="964"/>
      <c r="Q51" s="964"/>
      <c r="R51" s="307"/>
      <c r="S51" s="318"/>
      <c r="T51" s="319"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353" t="s">
        <v>159</v>
      </c>
      <c r="B52" s="353" t="s">
        <v>160</v>
      </c>
      <c r="C52" s="353" t="s">
        <v>161</v>
      </c>
      <c r="D52" s="353" t="s">
        <v>162</v>
      </c>
      <c r="E52" s="1112"/>
      <c r="F52" s="1112"/>
      <c r="G52" s="1112"/>
      <c r="H52" s="1112"/>
      <c r="I52" s="1113"/>
      <c r="P52" s="964"/>
      <c r="R52" s="307"/>
      <c r="S52" s="318"/>
      <c r="T52" s="321"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14.65" customHeight="1">
      <c r="A53" s="353" t="s">
        <v>159</v>
      </c>
      <c r="B53" s="353" t="s">
        <v>160</v>
      </c>
      <c r="C53" s="353" t="s">
        <v>161</v>
      </c>
      <c r="D53" s="353" t="s">
        <v>162</v>
      </c>
      <c r="E53" s="1112"/>
      <c r="F53" s="1112"/>
      <c r="G53" s="1112"/>
      <c r="H53" s="1111"/>
      <c r="R53" s="294"/>
      <c r="S53" s="318"/>
      <c r="T53" s="324" t="s">
        <v>414</v>
      </c>
      <c r="U53" s="117"/>
      <c r="V53" s="117"/>
      <c r="W53" s="117"/>
      <c r="X53" s="117"/>
      <c r="Y53" s="117"/>
      <c r="Z53" s="117"/>
      <c r="AA53" s="117"/>
      <c r="AB53" s="117"/>
      <c r="AC53" s="322"/>
      <c r="AD53" s="117"/>
      <c r="AE53" s="117"/>
      <c r="AF53" s="117"/>
      <c r="AG53" s="117"/>
      <c r="AH53" s="117"/>
      <c r="AI53" s="117"/>
      <c r="AJ53" s="117"/>
      <c r="AK53" s="322"/>
      <c r="AL53" s="117"/>
      <c r="AM53" s="323"/>
      <c r="AP53" s="87" t="str">
        <f t="shared" si="1"/>
        <v>Добавить схему подключения</v>
      </c>
      <c r="AS53" s="17">
        <v>14</v>
      </c>
    </row>
    <row r="54" spans="1:45" ht="1.1499999999999999" customHeight="1">
      <c r="A54" s="72" t="s">
        <v>159</v>
      </c>
      <c r="B54" s="72" t="s">
        <v>160</v>
      </c>
      <c r="C54" s="72" t="s">
        <v>161</v>
      </c>
      <c r="E54" s="1112"/>
      <c r="F54" s="1112"/>
      <c r="G54" s="1111"/>
      <c r="T54" s="329" t="s">
        <v>415</v>
      </c>
      <c r="AP54" s="87" t="str">
        <f t="shared" si="1"/>
        <v>Добавить источник для дифференциации</v>
      </c>
      <c r="AS54" s="75">
        <v>1</v>
      </c>
    </row>
    <row r="55" spans="1:45" ht="1.1499999999999999" customHeight="1">
      <c r="A55" s="72" t="s">
        <v>159</v>
      </c>
      <c r="B55" s="72" t="s">
        <v>160</v>
      </c>
      <c r="E55" s="1112"/>
      <c r="F55" s="1111"/>
      <c r="T55" s="329" t="s">
        <v>416</v>
      </c>
      <c r="AP55" s="87" t="str">
        <f t="shared" si="1"/>
        <v>Добавить централизованную систему для дифференциации</v>
      </c>
      <c r="AS55" s="75">
        <v>1</v>
      </c>
    </row>
    <row r="56" spans="1:45" ht="1.1499999999999999" customHeight="1">
      <c r="A56" s="72" t="s">
        <v>159</v>
      </c>
      <c r="E56" s="1111"/>
      <c r="T56" s="329" t="s">
        <v>417</v>
      </c>
      <c r="AP56" s="87" t="str">
        <f t="shared" si="1"/>
        <v>Добавить территорию для дифференциации</v>
      </c>
      <c r="AS56" s="75">
        <v>1</v>
      </c>
    </row>
    <row r="57" spans="1:45" ht="1.1499999999999999" customHeight="1">
      <c r="T57" s="329" t="s">
        <v>449</v>
      </c>
      <c r="AP57" s="87" t="str">
        <f t="shared" si="1"/>
        <v>Добавить наименование тарифа</v>
      </c>
      <c r="AS57" s="75">
        <v>1</v>
      </c>
    </row>
    <row r="58" spans="1:45" ht="11.45" customHeight="1">
      <c r="AS58" s="17">
        <v>11</v>
      </c>
    </row>
    <row r="59" spans="1:45" ht="28.5"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27</v>
      </c>
    </row>
    <row r="60" spans="1:45" ht="67.150000000000006"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64</v>
      </c>
    </row>
    <row r="61" spans="1:45" ht="14.65" customHeight="1">
      <c r="AS61" s="17">
        <v>14</v>
      </c>
    </row>
    <row r="62" spans="1:45" ht="18.75" customHeight="1">
      <c r="T62" s="964"/>
      <c r="U62" s="964"/>
      <c r="V62" s="964"/>
      <c r="W62" s="964"/>
      <c r="X62" s="964"/>
      <c r="Y62" s="964"/>
      <c r="Z62" s="964"/>
      <c r="AA62" s="964"/>
      <c r="AB62" s="964"/>
      <c r="AC62" s="964"/>
      <c r="AD62" s="964"/>
      <c r="AE62" s="964"/>
      <c r="AF62" s="964"/>
      <c r="AG62" s="964"/>
      <c r="AH62" s="964"/>
      <c r="AI62" s="964"/>
      <c r="AJ62" s="964"/>
      <c r="AK62" s="964"/>
      <c r="AL62" s="964"/>
      <c r="AM62" s="964"/>
      <c r="AS62" s="17">
        <v>18</v>
      </c>
    </row>
    <row r="63" spans="1:45" ht="18.75"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18</v>
      </c>
    </row>
    <row r="64" spans="1:45" ht="29.2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28</v>
      </c>
    </row>
    <row r="65" spans="1:45" ht="22.5" hidden="1" customHeight="1">
      <c r="A65" s="37" t="s">
        <v>82</v>
      </c>
      <c r="B65" s="37">
        <v>0</v>
      </c>
      <c r="C65" s="37">
        <v>0</v>
      </c>
      <c r="D65" s="37">
        <v>0</v>
      </c>
      <c r="E65" s="37">
        <v>0</v>
      </c>
      <c r="F65" s="37">
        <v>0</v>
      </c>
      <c r="G65" s="37">
        <v>0</v>
      </c>
      <c r="H65" s="37">
        <v>0</v>
      </c>
      <c r="I65" s="37">
        <v>0</v>
      </c>
      <c r="J65" s="37">
        <v>0</v>
      </c>
      <c r="K65" s="37">
        <v>0</v>
      </c>
      <c r="L65" s="240">
        <v>0</v>
      </c>
      <c r="M65" s="41">
        <v>0</v>
      </c>
      <c r="N65" s="41">
        <v>0</v>
      </c>
      <c r="O65" s="41">
        <v>0</v>
      </c>
      <c r="P65" s="356">
        <v>3</v>
      </c>
      <c r="Q65" s="357">
        <v>3</v>
      </c>
      <c r="R65" s="357">
        <v>3</v>
      </c>
      <c r="S65" s="33">
        <v>12</v>
      </c>
      <c r="T65" s="17">
        <v>35</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5">
        <v>10</v>
      </c>
      <c r="AO65" s="75">
        <v>10</v>
      </c>
      <c r="AP65" s="75">
        <v>10</v>
      </c>
      <c r="AQ65" s="75">
        <v>10</v>
      </c>
      <c r="AR65" s="75">
        <v>10</v>
      </c>
      <c r="AS65" s="17">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FA24-1B1F-8CDA-74F3-BB9F49A6D1C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c r="AS1" s="17" t="s">
        <v>14</v>
      </c>
    </row>
    <row r="2" spans="5:45" ht="21" hidden="1" customHeight="1">
      <c r="E2" s="1111">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12"/>
      <c r="F4" s="1112"/>
      <c r="G4" s="1111">
        <v>1</v>
      </c>
      <c r="Q4" s="300"/>
      <c r="R4" s="301"/>
      <c r="S4" s="295" t="e">
        <f>INDEX(PT_DIFFERENTIATION_NUM_CS,MATCH(C4,PT_DIFFERENTIATION_CS_ID,0))</f>
        <v>#N/A</v>
      </c>
      <c r="T4" s="303" t="s">
        <v>400</v>
      </c>
      <c r="U4" s="297"/>
      <c r="V4" s="1106"/>
      <c r="W4" s="1107"/>
      <c r="X4" s="1107"/>
      <c r="Y4" s="1107"/>
      <c r="Z4" s="1107"/>
      <c r="AA4" s="1107"/>
      <c r="AB4" s="1107"/>
      <c r="AC4" s="1108"/>
      <c r="AD4" s="1106" t="e">
        <f>INDEX(PT_DIFFERENTIATION_CS,MATCH(C4,PT_DIFFERENTIATION_CS_ID,0))</f>
        <v>#N/A</v>
      </c>
      <c r="AE4" s="1107"/>
      <c r="AF4" s="1107"/>
      <c r="AG4" s="1107"/>
      <c r="AH4" s="1107"/>
      <c r="AI4" s="1107"/>
      <c r="AJ4" s="1107"/>
      <c r="AK4" s="1107"/>
      <c r="AL4" s="1108"/>
      <c r="AM4" s="299" t="s">
        <v>401</v>
      </c>
      <c r="AP4" s="87" t="str">
        <f t="shared" si="0"/>
        <v xml:space="preserve">Наименование системы теплоснабжения </v>
      </c>
      <c r="AS4" s="17">
        <v>0</v>
      </c>
    </row>
    <row r="5" spans="5:45" ht="21" hidden="1" customHeight="1">
      <c r="E5" s="1112"/>
      <c r="F5" s="1112"/>
      <c r="G5" s="1112"/>
      <c r="H5" s="1111">
        <v>1</v>
      </c>
      <c r="Q5" s="300"/>
      <c r="R5" s="301"/>
      <c r="S5" s="295" t="e">
        <f>INDEX(PT_DIFFERENTIATION_NUM_IST_TE,MATCH(D5,PT_DIFFERENTIATION_IST_TE_ID,0))</f>
        <v>#N/A</v>
      </c>
      <c r="T5" s="304" t="s">
        <v>402</v>
      </c>
      <c r="U5" s="297"/>
      <c r="V5" s="1106"/>
      <c r="W5" s="1107"/>
      <c r="X5" s="1107"/>
      <c r="Y5" s="1107"/>
      <c r="Z5" s="1107"/>
      <c r="AA5" s="1107"/>
      <c r="AB5" s="1107"/>
      <c r="AC5" s="1108"/>
      <c r="AD5" s="1106" t="e">
        <f>INDEX(PT_DIFFERENTIATION_IST_TE,MATCH(D5,PT_DIFFERENTIATION_IST_TE_ID,0))</f>
        <v>#N/A</v>
      </c>
      <c r="AE5" s="1107"/>
      <c r="AF5" s="1107"/>
      <c r="AG5" s="1107"/>
      <c r="AH5" s="1107"/>
      <c r="AI5" s="1107"/>
      <c r="AJ5" s="1107"/>
      <c r="AK5" s="1107"/>
      <c r="AL5" s="1108"/>
      <c r="AM5" s="299" t="s">
        <v>403</v>
      </c>
      <c r="AP5" s="87" t="str">
        <f t="shared" si="0"/>
        <v xml:space="preserve">Источник тепловой энергии  </v>
      </c>
      <c r="AS5" s="17">
        <v>0</v>
      </c>
    </row>
    <row r="6" spans="5:45" ht="47.25" hidden="1" customHeight="1">
      <c r="E6" s="1112"/>
      <c r="F6" s="1112"/>
      <c r="G6" s="1112"/>
      <c r="H6" s="1112"/>
      <c r="I6" s="1113" t="e">
        <f>S5&amp;".1"</f>
        <v>#N/A</v>
      </c>
      <c r="L6" s="306" t="s">
        <v>404</v>
      </c>
      <c r="P6" s="1115">
        <v>1</v>
      </c>
      <c r="R6" s="307"/>
      <c r="S6" s="295" t="e">
        <f>$I6</f>
        <v>#N/A</v>
      </c>
      <c r="T6" s="308" t="s">
        <v>405</v>
      </c>
      <c r="U6" s="297"/>
      <c r="V6" s="1100"/>
      <c r="W6" s="1101"/>
      <c r="X6" s="1101"/>
      <c r="Y6" s="1101"/>
      <c r="Z6" s="1101"/>
      <c r="AA6" s="1101"/>
      <c r="AB6" s="1101"/>
      <c r="AC6" s="1102"/>
      <c r="AD6" s="1100"/>
      <c r="AE6" s="1101"/>
      <c r="AF6" s="1101"/>
      <c r="AG6" s="1101"/>
      <c r="AH6" s="1101"/>
      <c r="AI6" s="1101"/>
      <c r="AJ6" s="1101"/>
      <c r="AK6" s="1101"/>
      <c r="AL6" s="1102"/>
      <c r="AM6" s="299" t="s">
        <v>406</v>
      </c>
      <c r="AP6" s="87" t="str">
        <f t="shared" si="0"/>
        <v>Схема подключения теплопотребляющей установки к коллектору источника тепловой энергии</v>
      </c>
      <c r="AS6" s="17">
        <v>0</v>
      </c>
    </row>
    <row r="7" spans="5:45" ht="21" hidden="1" customHeight="1">
      <c r="E7" s="1112"/>
      <c r="F7" s="1112"/>
      <c r="G7" s="1112"/>
      <c r="H7" s="1112"/>
      <c r="I7" s="1114"/>
      <c r="J7" s="1113" t="e">
        <f>I6&amp;".1"</f>
        <v>#N/A</v>
      </c>
      <c r="L7" s="306" t="s">
        <v>407</v>
      </c>
      <c r="P7" s="964"/>
      <c r="Q7" s="1115">
        <v>1</v>
      </c>
      <c r="R7" s="309"/>
      <c r="S7" s="295" t="e">
        <f>$J7</f>
        <v>#N/A</v>
      </c>
      <c r="T7" s="310" t="s">
        <v>408</v>
      </c>
      <c r="U7" s="297"/>
      <c r="V7" s="1100"/>
      <c r="W7" s="1101"/>
      <c r="X7" s="1101"/>
      <c r="Y7" s="1101"/>
      <c r="Z7" s="1101"/>
      <c r="AA7" s="1101"/>
      <c r="AB7" s="1101"/>
      <c r="AC7" s="1102"/>
      <c r="AD7" s="1100"/>
      <c r="AE7" s="1101"/>
      <c r="AF7" s="1101"/>
      <c r="AG7" s="1101"/>
      <c r="AH7" s="1101"/>
      <c r="AI7" s="1101"/>
      <c r="AJ7" s="1101"/>
      <c r="AK7" s="1101"/>
      <c r="AL7" s="1102"/>
      <c r="AM7" s="299" t="s">
        <v>409</v>
      </c>
      <c r="AP7" s="87" t="str">
        <f t="shared" si="0"/>
        <v>Группа потребителей</v>
      </c>
      <c r="AS7" s="17">
        <v>0</v>
      </c>
    </row>
    <row r="8" spans="5:45" ht="21" hidden="1" customHeight="1">
      <c r="E8" s="1112"/>
      <c r="F8" s="1112"/>
      <c r="G8" s="1112"/>
      <c r="H8" s="1112"/>
      <c r="I8" s="1114"/>
      <c r="J8" s="1114"/>
      <c r="K8" s="1113" t="e">
        <f>J7&amp;".1"</f>
        <v>#N/A</v>
      </c>
      <c r="L8" s="306" t="s">
        <v>410</v>
      </c>
      <c r="P8" s="964"/>
      <c r="Q8" s="964"/>
      <c r="R8" s="309">
        <v>1</v>
      </c>
      <c r="S8" s="295" t="e">
        <f>$K8</f>
        <v>#N/A</v>
      </c>
      <c r="T8" s="311"/>
      <c r="U8" s="297"/>
      <c r="V8" s="312"/>
      <c r="W8" s="313"/>
      <c r="X8" s="312"/>
      <c r="Y8" s="314"/>
      <c r="Z8" s="1116"/>
      <c r="AA8" s="1004" t="s">
        <v>66</v>
      </c>
      <c r="AB8" s="1116"/>
      <c r="AC8" s="1004" t="s">
        <v>66</v>
      </c>
      <c r="AD8" s="312"/>
      <c r="AE8" s="313"/>
      <c r="AF8" s="312"/>
      <c r="AG8" s="314"/>
      <c r="AH8" s="1116"/>
      <c r="AI8" s="1004" t="s">
        <v>66</v>
      </c>
      <c r="AJ8" s="1116"/>
      <c r="AK8" s="1004" t="s">
        <v>66</v>
      </c>
      <c r="AL8" s="313"/>
      <c r="AM8" s="1134" t="s">
        <v>411</v>
      </c>
      <c r="AN8" s="75" t="e">
        <f ca="1">STRCHECKDATE(V9:AL9)</f>
        <v>#NAME?</v>
      </c>
      <c r="AP8" s="87" t="str">
        <f t="shared" si="0"/>
        <v/>
      </c>
      <c r="AS8" s="17">
        <v>0</v>
      </c>
    </row>
    <row r="9" spans="5:45" ht="0.75" hidden="1" customHeight="1">
      <c r="E9" s="1112"/>
      <c r="F9" s="1112"/>
      <c r="G9" s="1112"/>
      <c r="H9" s="1112"/>
      <c r="I9" s="1114"/>
      <c r="J9" s="1114"/>
      <c r="K9" s="1113"/>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5" hidden="1" customHeight="1">
      <c r="E10" s="1112"/>
      <c r="F10" s="1112"/>
      <c r="G10" s="1112"/>
      <c r="H10" s="1112"/>
      <c r="I10" s="1114"/>
      <c r="J10" s="1113"/>
      <c r="P10" s="964"/>
      <c r="Q10" s="964"/>
      <c r="R10" s="307"/>
      <c r="S10" s="318"/>
      <c r="T10" s="319"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5" hidden="1" customHeight="1">
      <c r="E11" s="1112"/>
      <c r="F11" s="1112"/>
      <c r="G11" s="1112"/>
      <c r="H11" s="1112"/>
      <c r="I11" s="1113"/>
      <c r="P11" s="964"/>
      <c r="R11" s="307"/>
      <c r="S11" s="318"/>
      <c r="T11" s="321"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14.25" hidden="1" customHeight="1">
      <c r="E12" s="1112"/>
      <c r="F12" s="1112"/>
      <c r="G12" s="1112"/>
      <c r="H12" s="1111"/>
      <c r="R12" s="294"/>
      <c r="S12" s="318"/>
      <c r="T12" s="324" t="s">
        <v>414</v>
      </c>
      <c r="U12" s="117"/>
      <c r="V12" s="117"/>
      <c r="W12" s="117"/>
      <c r="X12" s="117"/>
      <c r="Y12" s="117"/>
      <c r="Z12" s="117"/>
      <c r="AA12" s="117"/>
      <c r="AB12" s="117"/>
      <c r="AC12" s="322"/>
      <c r="AD12" s="117"/>
      <c r="AE12" s="117"/>
      <c r="AF12" s="117"/>
      <c r="AG12" s="117"/>
      <c r="AH12" s="117"/>
      <c r="AI12" s="117"/>
      <c r="AJ12" s="117"/>
      <c r="AK12" s="322"/>
      <c r="AL12" s="117"/>
      <c r="AM12" s="323"/>
      <c r="AP12" s="87" t="str">
        <f t="shared" si="0"/>
        <v>Добавить схему подключения</v>
      </c>
      <c r="AS12" s="17">
        <v>0</v>
      </c>
    </row>
    <row r="13" spans="5:45" ht="0.75" hidden="1" customHeight="1">
      <c r="E13" s="1112"/>
      <c r="F13" s="1112"/>
      <c r="G13" s="1111"/>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0.75" hidden="1" customHeight="1">
      <c r="E14" s="1112"/>
      <c r="F14" s="1111"/>
      <c r="T14" s="328" t="s">
        <v>416</v>
      </c>
      <c r="AP14" s="87" t="str">
        <f t="shared" si="0"/>
        <v>Добавить централизованную систему для дифференциации</v>
      </c>
      <c r="AS14" s="75">
        <v>0</v>
      </c>
    </row>
    <row r="15" spans="5:45" ht="0.75" hidden="1" customHeight="1">
      <c r="E15" s="1111"/>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22.5" hidden="1" customHeight="1">
      <c r="O20" s="332" t="s">
        <v>418</v>
      </c>
      <c r="Z20" s="332"/>
      <c r="AB20" s="332"/>
      <c r="AH20" s="332"/>
      <c r="AJ20" s="332"/>
      <c r="AS20" s="37">
        <v>0</v>
      </c>
    </row>
    <row r="21" spans="15:45" ht="14.25" hidden="1" customHeight="1">
      <c r="AS21" s="37">
        <v>0</v>
      </c>
    </row>
    <row r="22" spans="15:45" ht="14.25" hidden="1" customHeight="1">
      <c r="O22" s="306"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14.65" customHeight="1">
      <c r="Q26" s="333"/>
      <c r="R26" s="333"/>
      <c r="S26" s="10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093"/>
      <c r="U26" s="1093"/>
      <c r="V26" s="1093"/>
      <c r="W26" s="1093"/>
      <c r="X26" s="1093"/>
      <c r="Y26" s="1093"/>
      <c r="Z26" s="1093"/>
      <c r="AA26" s="1093"/>
      <c r="AB26" s="1093"/>
      <c r="AC26" s="1093"/>
      <c r="AD26" s="1093"/>
      <c r="AE26" s="1093"/>
      <c r="AF26" s="1093"/>
      <c r="AG26" s="1093"/>
      <c r="AH26" s="1093"/>
      <c r="AI26" s="1093"/>
      <c r="AJ26" s="1093"/>
      <c r="AS26" s="17">
        <v>14</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18.7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26"/>
      <c r="Y39" s="1126"/>
      <c r="Z39" s="1126"/>
      <c r="AA39" s="1126"/>
      <c r="AB39" s="1127"/>
      <c r="AC39" s="1128" t="s">
        <v>431</v>
      </c>
      <c r="AD39" s="1125" t="s">
        <v>430</v>
      </c>
      <c r="AE39" s="1126"/>
      <c r="AF39" s="1126"/>
      <c r="AG39" s="1126"/>
      <c r="AH39" s="1126"/>
      <c r="AI39" s="1126"/>
      <c r="AJ39" s="1127"/>
      <c r="AK39" s="1128" t="s">
        <v>432</v>
      </c>
      <c r="AL39" s="1131" t="s">
        <v>433</v>
      </c>
      <c r="AM39" s="995"/>
      <c r="AS39" s="17">
        <v>14</v>
      </c>
    </row>
    <row r="40" spans="1:45" ht="35.65" customHeight="1">
      <c r="Q40" s="333"/>
      <c r="R40" s="333"/>
      <c r="S40" s="1124"/>
      <c r="T40" s="1073"/>
      <c r="U40" s="343"/>
      <c r="V40" s="1046" t="s">
        <v>434</v>
      </c>
      <c r="W40" s="1120" t="s">
        <v>435</v>
      </c>
      <c r="X40" s="977" t="s">
        <v>436</v>
      </c>
      <c r="Y40" s="976"/>
      <c r="Z40" s="977" t="s">
        <v>450</v>
      </c>
      <c r="AA40" s="982"/>
      <c r="AB40" s="976"/>
      <c r="AC40" s="1129"/>
      <c r="AD40" s="1046" t="s">
        <v>434</v>
      </c>
      <c r="AE40" s="1120" t="s">
        <v>435</v>
      </c>
      <c r="AF40" s="977" t="s">
        <v>436</v>
      </c>
      <c r="AG40" s="976"/>
      <c r="AH40" s="977" t="s">
        <v>437</v>
      </c>
      <c r="AI40" s="982"/>
      <c r="AJ40" s="976"/>
      <c r="AK40" s="1129"/>
      <c r="AL40" s="1132"/>
      <c r="AM40" s="995"/>
      <c r="AS40" s="17">
        <v>34</v>
      </c>
    </row>
    <row r="41" spans="1:45" ht="35.65" customHeight="1">
      <c r="B41" s="126" t="s">
        <v>138</v>
      </c>
      <c r="C41" s="126" t="s">
        <v>139</v>
      </c>
      <c r="D41" s="126" t="s">
        <v>140</v>
      </c>
      <c r="E41" s="306" t="s">
        <v>438</v>
      </c>
      <c r="F41" s="306" t="s">
        <v>439</v>
      </c>
      <c r="G41" s="306" t="s">
        <v>440</v>
      </c>
      <c r="H41" s="306" t="s">
        <v>441</v>
      </c>
      <c r="I41" s="306" t="s">
        <v>442</v>
      </c>
      <c r="J41" s="306" t="s">
        <v>443</v>
      </c>
      <c r="K41" s="306" t="s">
        <v>444</v>
      </c>
      <c r="L41" s="306" t="s">
        <v>419</v>
      </c>
      <c r="Q41" s="333"/>
      <c r="R41" s="333"/>
      <c r="S41" s="1124"/>
      <c r="T41" s="1073"/>
      <c r="U41" s="344"/>
      <c r="V41" s="1098"/>
      <c r="W41" s="1121"/>
      <c r="X41" s="134" t="s">
        <v>445</v>
      </c>
      <c r="Y41" s="134" t="s">
        <v>446</v>
      </c>
      <c r="Z41" s="134" t="s">
        <v>447</v>
      </c>
      <c r="AA41" s="1078" t="s">
        <v>448</v>
      </c>
      <c r="AB41" s="1092"/>
      <c r="AC41" s="1130"/>
      <c r="AD41" s="1098"/>
      <c r="AE41" s="1121"/>
      <c r="AF41" s="134" t="s">
        <v>445</v>
      </c>
      <c r="AG41" s="134" t="s">
        <v>446</v>
      </c>
      <c r="AH41" s="134" t="s">
        <v>447</v>
      </c>
      <c r="AI41" s="1078" t="s">
        <v>448</v>
      </c>
      <c r="AJ41" s="1092"/>
      <c r="AK41" s="1130"/>
      <c r="AL41" s="1133"/>
      <c r="AM41" s="995"/>
      <c r="AS41" s="17">
        <v>34</v>
      </c>
    </row>
    <row r="42" spans="1:45" ht="11.25" hidden="1" customHeight="1">
      <c r="Q42" s="347"/>
      <c r="R42" s="348">
        <v>1</v>
      </c>
      <c r="S42" s="349" t="s">
        <v>110</v>
      </c>
      <c r="T42" s="350" t="s">
        <v>111</v>
      </c>
      <c r="U42" s="351" t="str">
        <f ca="1">OFFSET(U42,0,-1)</f>
        <v>2</v>
      </c>
      <c r="V42" s="352">
        <f ca="1">OFFSET(V42,0,-1)+1</f>
        <v>3</v>
      </c>
      <c r="W42" s="352"/>
      <c r="X42" s="352">
        <f ca="1">OFFSET(X42,0,-1)+1</f>
        <v>1</v>
      </c>
      <c r="Y42" s="352">
        <f ca="1">OFFSET(Y42,0,-1)+1</f>
        <v>2</v>
      </c>
      <c r="Z42" s="352">
        <f ca="1">OFFSET(Z42,0,-1)+1</f>
        <v>3</v>
      </c>
      <c r="AA42" s="1122">
        <f ca="1">OFFSET(AA42,0,-1)+1</f>
        <v>4</v>
      </c>
      <c r="AB42" s="1122"/>
      <c r="AC42" s="352">
        <f ca="1">OFFSET(AC42,0,-2)+1</f>
        <v>5</v>
      </c>
      <c r="AD42" s="352">
        <f ca="1">OFFSET(AD42,0,-1)+1</f>
        <v>6</v>
      </c>
      <c r="AE42" s="352"/>
      <c r="AF42" s="352">
        <f ca="1">OFFSET(AF42,0,-1)+1</f>
        <v>1</v>
      </c>
      <c r="AG42" s="352">
        <f ca="1">OFFSET(AG42,0,-1)+1</f>
        <v>2</v>
      </c>
      <c r="AH42" s="352">
        <f ca="1">OFFSET(AH42,0,-1)+1</f>
        <v>3</v>
      </c>
      <c r="AI42" s="1122">
        <f ca="1">OFFSET(AI42,0,-1)+1</f>
        <v>4</v>
      </c>
      <c r="AJ42" s="1122"/>
      <c r="AK42" s="352">
        <f ca="1">OFFSET(AK42,0,-2)+1</f>
        <v>5</v>
      </c>
      <c r="AL42" s="351">
        <f ca="1">OFFSET(AL42,0,-1)</f>
        <v>5</v>
      </c>
      <c r="AM42" s="352">
        <f ca="1">OFFSET(AM42,0,-1)+1</f>
        <v>6</v>
      </c>
      <c r="AS42" s="258">
        <v>0</v>
      </c>
    </row>
    <row r="43" spans="1:45" ht="21.95" customHeight="1">
      <c r="A43" s="353" t="s">
        <v>164</v>
      </c>
      <c r="E43" s="1111">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21</v>
      </c>
    </row>
    <row r="44" spans="1:45" ht="21.95" customHeight="1">
      <c r="A44" s="353" t="s">
        <v>164</v>
      </c>
      <c r="B44" s="353" t="s">
        <v>165</v>
      </c>
      <c r="E44" s="1112"/>
      <c r="F44" s="1111">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21</v>
      </c>
    </row>
    <row r="45" spans="1:45" ht="24" customHeight="1">
      <c r="A45" s="353" t="s">
        <v>164</v>
      </c>
      <c r="B45" s="353" t="s">
        <v>165</v>
      </c>
      <c r="C45" s="353" t="s">
        <v>166</v>
      </c>
      <c r="E45" s="1112"/>
      <c r="F45" s="1112"/>
      <c r="G45" s="1111">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1.95" customHeight="1">
      <c r="A46" s="353" t="s">
        <v>164</v>
      </c>
      <c r="B46" s="353" t="s">
        <v>165</v>
      </c>
      <c r="C46" s="353" t="s">
        <v>166</v>
      </c>
      <c r="D46" s="353" t="s">
        <v>167</v>
      </c>
      <c r="E46" s="1112"/>
      <c r="F46" s="1112"/>
      <c r="G46" s="1112"/>
      <c r="H46" s="1111">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21</v>
      </c>
    </row>
    <row r="47" spans="1:45" ht="49.5" customHeight="1">
      <c r="A47" s="353" t="s">
        <v>164</v>
      </c>
      <c r="B47" s="353" t="s">
        <v>165</v>
      </c>
      <c r="C47" s="353" t="s">
        <v>166</v>
      </c>
      <c r="D47" s="353" t="s">
        <v>167</v>
      </c>
      <c r="E47" s="1112"/>
      <c r="F47" s="1112"/>
      <c r="G47" s="1112"/>
      <c r="H47" s="1112"/>
      <c r="I47" s="1113" t="str">
        <f>S46&amp;".1"</f>
        <v>....1</v>
      </c>
      <c r="L47" s="306" t="s">
        <v>404</v>
      </c>
      <c r="P47" s="1115">
        <v>1</v>
      </c>
      <c r="R47" s="307"/>
      <c r="S47" s="295" t="str">
        <f>$I47</f>
        <v>....1</v>
      </c>
      <c r="T47" s="308" t="s">
        <v>405</v>
      </c>
      <c r="U47" s="297"/>
      <c r="V47" s="1100"/>
      <c r="W47" s="1101"/>
      <c r="X47" s="1101"/>
      <c r="Y47" s="1101"/>
      <c r="Z47" s="1101"/>
      <c r="AA47" s="1101"/>
      <c r="AB47" s="1101"/>
      <c r="AC47" s="1102"/>
      <c r="AD47" s="1100"/>
      <c r="AE47" s="1101"/>
      <c r="AF47" s="1101"/>
      <c r="AG47" s="1101"/>
      <c r="AH47" s="1101"/>
      <c r="AI47" s="1101"/>
      <c r="AJ47" s="1101"/>
      <c r="AK47" s="1101"/>
      <c r="AL47" s="1102"/>
      <c r="AM47" s="299" t="s">
        <v>406</v>
      </c>
      <c r="AP47" s="87" t="str">
        <f t="shared" si="1"/>
        <v>Схема подключения теплопотребляющей установки к коллектору источника тепловой энергии</v>
      </c>
      <c r="AS47" s="17">
        <v>47</v>
      </c>
    </row>
    <row r="48" spans="1:45" ht="21.95" customHeight="1">
      <c r="A48" s="353" t="s">
        <v>164</v>
      </c>
      <c r="B48" s="353" t="s">
        <v>165</v>
      </c>
      <c r="C48" s="353" t="s">
        <v>166</v>
      </c>
      <c r="D48" s="353" t="s">
        <v>167</v>
      </c>
      <c r="E48" s="1112"/>
      <c r="F48" s="1112"/>
      <c r="G48" s="1112"/>
      <c r="H48" s="1112"/>
      <c r="I48" s="1114"/>
      <c r="J48" s="1113" t="str">
        <f>I47&amp;".1"</f>
        <v>....1.1</v>
      </c>
      <c r="L48" s="306" t="s">
        <v>407</v>
      </c>
      <c r="P48" s="964"/>
      <c r="Q48" s="1115">
        <v>1</v>
      </c>
      <c r="R48" s="309"/>
      <c r="S48" s="295" t="str">
        <f>$J48</f>
        <v>....1.1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21</v>
      </c>
    </row>
    <row r="49" spans="1:45" ht="21.95" customHeight="1">
      <c r="A49" s="353" t="s">
        <v>164</v>
      </c>
      <c r="B49" s="353" t="s">
        <v>165</v>
      </c>
      <c r="C49" s="353" t="s">
        <v>166</v>
      </c>
      <c r="D49" s="353" t="s">
        <v>167</v>
      </c>
      <c r="E49" s="1112"/>
      <c r="F49" s="1112"/>
      <c r="G49" s="1112"/>
      <c r="H49" s="1112"/>
      <c r="I49" s="1114"/>
      <c r="J49" s="1114"/>
      <c r="K49" s="1113" t="str">
        <f>J48&amp;".1"</f>
        <v>....1.1.1</v>
      </c>
      <c r="L49" s="306" t="s">
        <v>410</v>
      </c>
      <c r="P49" s="964"/>
      <c r="Q49" s="964"/>
      <c r="R49" s="309">
        <v>1</v>
      </c>
      <c r="S49" s="295" t="str">
        <f>$K49</f>
        <v>....1.1.1</v>
      </c>
      <c r="T49" s="311"/>
      <c r="U49" s="297"/>
      <c r="V49" s="312"/>
      <c r="W49" s="313"/>
      <c r="X49" s="312"/>
      <c r="Y49" s="314"/>
      <c r="Z49" s="1116"/>
      <c r="AA49" s="1004" t="s">
        <v>66</v>
      </c>
      <c r="AB49" s="1116"/>
      <c r="AC49" s="1004" t="s">
        <v>66</v>
      </c>
      <c r="AD49" s="312"/>
      <c r="AE49" s="313"/>
      <c r="AF49" s="312"/>
      <c r="AG49" s="314"/>
      <c r="AH49" s="1116"/>
      <c r="AI49" s="1004" t="s">
        <v>66</v>
      </c>
      <c r="AJ49" s="1118"/>
      <c r="AK49" s="1004" t="s">
        <v>66</v>
      </c>
      <c r="AL49" s="354"/>
      <c r="AM49" s="1134" t="s">
        <v>411</v>
      </c>
      <c r="AN49" s="75" t="e">
        <f ca="1">STRCHECKDATE(V50:AL50)</f>
        <v>#NAME?</v>
      </c>
      <c r="AP49" s="87" t="str">
        <f t="shared" si="1"/>
        <v/>
      </c>
      <c r="AS49" s="17">
        <v>21</v>
      </c>
    </row>
    <row r="50" spans="1:45" ht="1.1499999999999999" customHeight="1">
      <c r="A50" s="353" t="s">
        <v>164</v>
      </c>
      <c r="B50" s="353" t="s">
        <v>165</v>
      </c>
      <c r="C50" s="353" t="s">
        <v>166</v>
      </c>
      <c r="D50" s="353" t="s">
        <v>167</v>
      </c>
      <c r="E50" s="1112"/>
      <c r="F50" s="1112"/>
      <c r="G50" s="1112"/>
      <c r="H50" s="1112"/>
      <c r="I50" s="1114"/>
      <c r="J50" s="1114"/>
      <c r="K50" s="1113"/>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1</v>
      </c>
    </row>
    <row r="51" spans="1:45" ht="11.45" customHeight="1">
      <c r="A51" s="353" t="s">
        <v>164</v>
      </c>
      <c r="B51" s="353" t="s">
        <v>165</v>
      </c>
      <c r="C51" s="353" t="s">
        <v>166</v>
      </c>
      <c r="D51" s="353" t="s">
        <v>167</v>
      </c>
      <c r="E51" s="1112"/>
      <c r="F51" s="1112"/>
      <c r="G51" s="1112"/>
      <c r="H51" s="1112"/>
      <c r="I51" s="1114"/>
      <c r="J51" s="1113"/>
      <c r="P51" s="964"/>
      <c r="Q51" s="964"/>
      <c r="R51" s="307"/>
      <c r="S51" s="318"/>
      <c r="T51" s="319"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353" t="s">
        <v>164</v>
      </c>
      <c r="B52" s="353" t="s">
        <v>165</v>
      </c>
      <c r="C52" s="353" t="s">
        <v>166</v>
      </c>
      <c r="D52" s="353" t="s">
        <v>167</v>
      </c>
      <c r="E52" s="1112"/>
      <c r="F52" s="1112"/>
      <c r="G52" s="1112"/>
      <c r="H52" s="1112"/>
      <c r="I52" s="1113"/>
      <c r="P52" s="964"/>
      <c r="R52" s="307"/>
      <c r="S52" s="318"/>
      <c r="T52" s="321"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14.65" customHeight="1">
      <c r="A53" s="353" t="s">
        <v>164</v>
      </c>
      <c r="B53" s="353" t="s">
        <v>165</v>
      </c>
      <c r="C53" s="353" t="s">
        <v>166</v>
      </c>
      <c r="D53" s="353" t="s">
        <v>167</v>
      </c>
      <c r="E53" s="1112"/>
      <c r="F53" s="1112"/>
      <c r="G53" s="1112"/>
      <c r="H53" s="1111"/>
      <c r="R53" s="294"/>
      <c r="S53" s="318"/>
      <c r="T53" s="324" t="s">
        <v>414</v>
      </c>
      <c r="U53" s="117"/>
      <c r="V53" s="117"/>
      <c r="W53" s="117"/>
      <c r="X53" s="117"/>
      <c r="Y53" s="117"/>
      <c r="Z53" s="117"/>
      <c r="AA53" s="117"/>
      <c r="AB53" s="117"/>
      <c r="AC53" s="322"/>
      <c r="AD53" s="117"/>
      <c r="AE53" s="117"/>
      <c r="AF53" s="117"/>
      <c r="AG53" s="117"/>
      <c r="AH53" s="117"/>
      <c r="AI53" s="117"/>
      <c r="AJ53" s="117"/>
      <c r="AK53" s="322"/>
      <c r="AL53" s="117"/>
      <c r="AM53" s="323"/>
      <c r="AP53" s="87" t="str">
        <f t="shared" si="1"/>
        <v>Добавить схему подключения</v>
      </c>
      <c r="AS53" s="17">
        <v>14</v>
      </c>
    </row>
    <row r="54" spans="1:45" ht="1.1499999999999999" customHeight="1">
      <c r="A54" s="72" t="s">
        <v>164</v>
      </c>
      <c r="B54" s="72" t="s">
        <v>165</v>
      </c>
      <c r="C54" s="72" t="s">
        <v>166</v>
      </c>
      <c r="E54" s="1112"/>
      <c r="F54" s="1112"/>
      <c r="G54" s="1111"/>
      <c r="T54" s="329" t="s">
        <v>415</v>
      </c>
      <c r="AP54" s="87" t="str">
        <f t="shared" si="1"/>
        <v>Добавить источник для дифференциации</v>
      </c>
      <c r="AS54" s="75">
        <v>1</v>
      </c>
    </row>
    <row r="55" spans="1:45" ht="1.1499999999999999" customHeight="1">
      <c r="A55" s="72" t="s">
        <v>164</v>
      </c>
      <c r="B55" s="72" t="s">
        <v>165</v>
      </c>
      <c r="E55" s="1112"/>
      <c r="F55" s="1111"/>
      <c r="T55" s="329" t="s">
        <v>416</v>
      </c>
      <c r="AP55" s="87" t="str">
        <f t="shared" si="1"/>
        <v>Добавить централизованную систему для дифференциации</v>
      </c>
      <c r="AS55" s="75">
        <v>1</v>
      </c>
    </row>
    <row r="56" spans="1:45" ht="1.1499999999999999" customHeight="1">
      <c r="A56" s="72" t="s">
        <v>164</v>
      </c>
      <c r="E56" s="1111"/>
      <c r="T56" s="329" t="s">
        <v>417</v>
      </c>
      <c r="AP56" s="87" t="str">
        <f t="shared" si="1"/>
        <v>Добавить территорию для дифференциации</v>
      </c>
      <c r="AS56" s="75">
        <v>1</v>
      </c>
    </row>
    <row r="57" spans="1:45" ht="1.1499999999999999" customHeight="1">
      <c r="T57" s="329" t="s">
        <v>449</v>
      </c>
      <c r="AP57" s="87" t="str">
        <f t="shared" si="1"/>
        <v>Добавить наименование тарифа</v>
      </c>
      <c r="AS57" s="75">
        <v>1</v>
      </c>
    </row>
    <row r="58" spans="1:45" ht="11.45" customHeight="1">
      <c r="AS58" s="17">
        <v>11</v>
      </c>
    </row>
    <row r="59" spans="1:45" ht="28.5"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27</v>
      </c>
    </row>
    <row r="60" spans="1:45" ht="65.25"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62</v>
      </c>
    </row>
    <row r="61" spans="1:45" ht="14.65" customHeight="1">
      <c r="AS61" s="17">
        <v>14</v>
      </c>
    </row>
    <row r="62" spans="1:45" ht="18.75" customHeight="1">
      <c r="T62" s="964"/>
      <c r="U62" s="964"/>
      <c r="V62" s="964"/>
      <c r="W62" s="964"/>
      <c r="X62" s="964"/>
      <c r="Y62" s="964"/>
      <c r="Z62" s="964"/>
      <c r="AA62" s="964"/>
      <c r="AB62" s="964"/>
      <c r="AC62" s="964"/>
      <c r="AD62" s="964"/>
      <c r="AE62" s="964"/>
      <c r="AF62" s="964"/>
      <c r="AG62" s="964"/>
      <c r="AH62" s="964"/>
      <c r="AI62" s="964"/>
      <c r="AJ62" s="964"/>
      <c r="AK62" s="964"/>
      <c r="AL62" s="964"/>
      <c r="AM62" s="964"/>
      <c r="AS62" s="17">
        <v>18</v>
      </c>
    </row>
    <row r="63" spans="1:45" ht="18.75"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18</v>
      </c>
    </row>
    <row r="64" spans="1:45" ht="29.2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28</v>
      </c>
    </row>
    <row r="65" spans="1:45" ht="22.5" hidden="1" customHeight="1">
      <c r="A65" s="37" t="s">
        <v>82</v>
      </c>
      <c r="B65" s="37">
        <v>0</v>
      </c>
      <c r="C65" s="37">
        <v>0</v>
      </c>
      <c r="D65" s="37">
        <v>0</v>
      </c>
      <c r="E65" s="37">
        <v>0</v>
      </c>
      <c r="F65" s="37">
        <v>0</v>
      </c>
      <c r="G65" s="37">
        <v>0</v>
      </c>
      <c r="H65" s="37">
        <v>0</v>
      </c>
      <c r="I65" s="37">
        <v>0</v>
      </c>
      <c r="J65" s="37">
        <v>0</v>
      </c>
      <c r="K65" s="37">
        <v>0</v>
      </c>
      <c r="L65" s="240">
        <v>0</v>
      </c>
      <c r="M65" s="41">
        <v>0</v>
      </c>
      <c r="N65" s="41">
        <v>0</v>
      </c>
      <c r="O65" s="41">
        <v>0</v>
      </c>
      <c r="P65" s="356">
        <v>3</v>
      </c>
      <c r="Q65" s="357">
        <v>3</v>
      </c>
      <c r="R65" s="357">
        <v>3</v>
      </c>
      <c r="S65" s="33">
        <v>12</v>
      </c>
      <c r="T65" s="17">
        <v>31</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5">
        <v>10</v>
      </c>
      <c r="AO65" s="75">
        <v>10</v>
      </c>
      <c r="AP65" s="75">
        <v>10</v>
      </c>
      <c r="AQ65" s="75">
        <v>10</v>
      </c>
      <c r="AR65" s="75">
        <v>10</v>
      </c>
      <c r="AS65" s="17">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9D17-17B9-73D2-B568-EFA7DE9E1FD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c r="AS1" s="17" t="s">
        <v>14</v>
      </c>
    </row>
    <row r="2" spans="5:45" ht="21" hidden="1" customHeight="1">
      <c r="E2" s="1137">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38"/>
      <c r="F3" s="1137">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38"/>
      <c r="F4" s="1138"/>
      <c r="G4" s="1137">
        <v>1</v>
      </c>
      <c r="Q4" s="300"/>
      <c r="R4" s="301"/>
      <c r="S4" s="295" t="e">
        <f>INDEX(PT_DIFFERENTIATION_NUM_CS,MATCH(C4,PT_DIFFERENTIATION_CS_ID,0))</f>
        <v>#N/A</v>
      </c>
      <c r="T4" s="303" t="s">
        <v>400</v>
      </c>
      <c r="U4" s="297"/>
      <c r="V4" s="1106"/>
      <c r="W4" s="1107"/>
      <c r="X4" s="1107"/>
      <c r="Y4" s="1107"/>
      <c r="Z4" s="1107"/>
      <c r="AA4" s="1107"/>
      <c r="AB4" s="1107"/>
      <c r="AC4" s="1108"/>
      <c r="AD4" s="1106" t="e">
        <f>INDEX(PT_DIFFERENTIATION_CS,MATCH(C4,PT_DIFFERENTIATION_CS_ID,0))</f>
        <v>#N/A</v>
      </c>
      <c r="AE4" s="1107"/>
      <c r="AF4" s="1107"/>
      <c r="AG4" s="1107"/>
      <c r="AH4" s="1107"/>
      <c r="AI4" s="1107"/>
      <c r="AJ4" s="1107"/>
      <c r="AK4" s="1107"/>
      <c r="AL4" s="1108"/>
      <c r="AM4" s="299" t="s">
        <v>401</v>
      </c>
      <c r="AP4" s="87" t="str">
        <f t="shared" si="0"/>
        <v xml:space="preserve">Наименование системы теплоснабжения </v>
      </c>
      <c r="AS4" s="17">
        <v>0</v>
      </c>
    </row>
    <row r="5" spans="5:45" ht="21" hidden="1" customHeight="1">
      <c r="E5" s="1138"/>
      <c r="F5" s="1138"/>
      <c r="G5" s="1138"/>
      <c r="H5" s="1137">
        <v>1</v>
      </c>
      <c r="Q5" s="300"/>
      <c r="R5" s="301"/>
      <c r="S5" s="295" t="e">
        <f>INDEX(PT_DIFFERENTIATION_NUM_IST_TE,MATCH(D5,PT_DIFFERENTIATION_IST_TE_ID,0))</f>
        <v>#N/A</v>
      </c>
      <c r="T5" s="304" t="s">
        <v>402</v>
      </c>
      <c r="U5" s="297"/>
      <c r="V5" s="1106"/>
      <c r="W5" s="1107"/>
      <c r="X5" s="1107"/>
      <c r="Y5" s="1107"/>
      <c r="Z5" s="1107"/>
      <c r="AA5" s="1107"/>
      <c r="AB5" s="1107"/>
      <c r="AC5" s="1108"/>
      <c r="AD5" s="1106" t="e">
        <f>INDEX(PT_DIFFERENTIATION_IST_TE,MATCH(D5,PT_DIFFERENTIATION_IST_TE_ID,0))</f>
        <v>#N/A</v>
      </c>
      <c r="AE5" s="1107"/>
      <c r="AF5" s="1107"/>
      <c r="AG5" s="1107"/>
      <c r="AH5" s="1107"/>
      <c r="AI5" s="1107"/>
      <c r="AJ5" s="1107"/>
      <c r="AK5" s="1107"/>
      <c r="AL5" s="1108"/>
      <c r="AM5" s="299" t="s">
        <v>403</v>
      </c>
      <c r="AP5" s="87" t="str">
        <f t="shared" si="0"/>
        <v xml:space="preserve">Источник тепловой энергии  </v>
      </c>
      <c r="AS5" s="17">
        <v>0</v>
      </c>
    </row>
    <row r="6" spans="5:45" ht="47.25" hidden="1" customHeight="1">
      <c r="E6" s="1138"/>
      <c r="F6" s="1138"/>
      <c r="G6" s="1138"/>
      <c r="H6" s="1138"/>
      <c r="I6" s="995" t="e">
        <f>S5&amp;".1"</f>
        <v>#N/A</v>
      </c>
      <c r="L6" s="358" t="s">
        <v>404</v>
      </c>
      <c r="P6" s="1115">
        <v>1</v>
      </c>
      <c r="R6" s="307"/>
      <c r="S6" s="295" t="e">
        <f>$I6</f>
        <v>#N/A</v>
      </c>
      <c r="T6" s="308" t="s">
        <v>405</v>
      </c>
      <c r="U6" s="297"/>
      <c r="V6" s="1100"/>
      <c r="W6" s="1101"/>
      <c r="X6" s="1101"/>
      <c r="Y6" s="1101"/>
      <c r="Z6" s="1101"/>
      <c r="AA6" s="1101"/>
      <c r="AB6" s="1101"/>
      <c r="AC6" s="1102"/>
      <c r="AD6" s="1100"/>
      <c r="AE6" s="1101"/>
      <c r="AF6" s="1101"/>
      <c r="AG6" s="1101"/>
      <c r="AH6" s="1101"/>
      <c r="AI6" s="1101"/>
      <c r="AJ6" s="1101"/>
      <c r="AK6" s="1101"/>
      <c r="AL6" s="1102"/>
      <c r="AM6" s="299" t="s">
        <v>406</v>
      </c>
      <c r="AP6" s="87" t="str">
        <f t="shared" si="0"/>
        <v>Схема подключения теплопотребляющей установки к коллектору источника тепловой энергии</v>
      </c>
      <c r="AS6" s="17">
        <v>0</v>
      </c>
    </row>
    <row r="7" spans="5:45" ht="21" hidden="1" customHeight="1">
      <c r="E7" s="1138"/>
      <c r="F7" s="1138"/>
      <c r="G7" s="1138"/>
      <c r="H7" s="1138"/>
      <c r="I7" s="977"/>
      <c r="J7" s="995" t="e">
        <f>I6&amp;".1"</f>
        <v>#N/A</v>
      </c>
      <c r="L7" s="358" t="s">
        <v>407</v>
      </c>
      <c r="P7" s="964"/>
      <c r="Q7" s="1115">
        <v>1</v>
      </c>
      <c r="R7" s="309"/>
      <c r="S7" s="295" t="e">
        <f>$J7</f>
        <v>#N/A</v>
      </c>
      <c r="T7" s="310" t="s">
        <v>408</v>
      </c>
      <c r="U7" s="297"/>
      <c r="V7" s="1100"/>
      <c r="W7" s="1101"/>
      <c r="X7" s="1101"/>
      <c r="Y7" s="1101"/>
      <c r="Z7" s="1101"/>
      <c r="AA7" s="1101"/>
      <c r="AB7" s="1101"/>
      <c r="AC7" s="1102"/>
      <c r="AD7" s="1100"/>
      <c r="AE7" s="1101"/>
      <c r="AF7" s="1101"/>
      <c r="AG7" s="1101"/>
      <c r="AH7" s="1101"/>
      <c r="AI7" s="1101"/>
      <c r="AJ7" s="1101"/>
      <c r="AK7" s="1101"/>
      <c r="AL7" s="1102"/>
      <c r="AM7" s="299" t="s">
        <v>409</v>
      </c>
      <c r="AP7" s="87" t="str">
        <f t="shared" si="0"/>
        <v>Группа потребителей</v>
      </c>
      <c r="AS7" s="17">
        <v>0</v>
      </c>
    </row>
    <row r="8" spans="5:45" ht="21" hidden="1" customHeight="1">
      <c r="E8" s="1138"/>
      <c r="F8" s="1138"/>
      <c r="G8" s="1138"/>
      <c r="H8" s="1138"/>
      <c r="I8" s="977"/>
      <c r="J8" s="977"/>
      <c r="K8" s="995" t="e">
        <f>J7&amp;".1"</f>
        <v>#N/A</v>
      </c>
      <c r="L8" s="358" t="s">
        <v>410</v>
      </c>
      <c r="P8" s="964"/>
      <c r="Q8" s="964"/>
      <c r="R8" s="309">
        <v>1</v>
      </c>
      <c r="S8" s="295" t="e">
        <f>$K8</f>
        <v>#N/A</v>
      </c>
      <c r="T8" s="311"/>
      <c r="U8" s="297"/>
      <c r="V8" s="312"/>
      <c r="W8" s="313"/>
      <c r="X8" s="312"/>
      <c r="Y8" s="314"/>
      <c r="Z8" s="1116"/>
      <c r="AA8" s="1004" t="s">
        <v>66</v>
      </c>
      <c r="AB8" s="1116"/>
      <c r="AC8" s="1004" t="s">
        <v>66</v>
      </c>
      <c r="AD8" s="312"/>
      <c r="AE8" s="313"/>
      <c r="AF8" s="312"/>
      <c r="AG8" s="314"/>
      <c r="AH8" s="1116"/>
      <c r="AI8" s="1004" t="s">
        <v>66</v>
      </c>
      <c r="AJ8" s="1116"/>
      <c r="AK8" s="1004" t="s">
        <v>66</v>
      </c>
      <c r="AL8" s="313"/>
      <c r="AM8" s="1134" t="s">
        <v>411</v>
      </c>
      <c r="AN8" s="75" t="e">
        <f ca="1">STRCHECKDATE(V9:AL9)</f>
        <v>#NAME?</v>
      </c>
      <c r="AP8" s="87" t="str">
        <f t="shared" si="0"/>
        <v/>
      </c>
      <c r="AS8" s="17">
        <v>0</v>
      </c>
    </row>
    <row r="9" spans="5:45" ht="0.75" hidden="1" customHeight="1">
      <c r="E9" s="1138"/>
      <c r="F9" s="1138"/>
      <c r="G9" s="1138"/>
      <c r="H9" s="1138"/>
      <c r="I9" s="977"/>
      <c r="J9" s="977"/>
      <c r="K9" s="995"/>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5" hidden="1" customHeight="1">
      <c r="E10" s="1138"/>
      <c r="F10" s="1138"/>
      <c r="G10" s="1138"/>
      <c r="H10" s="1138"/>
      <c r="I10" s="977"/>
      <c r="J10" s="995"/>
      <c r="P10" s="964"/>
      <c r="Q10" s="964"/>
      <c r="R10" s="307"/>
      <c r="S10" s="318"/>
      <c r="T10" s="319"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5" hidden="1" customHeight="1">
      <c r="E11" s="1138"/>
      <c r="F11" s="1138"/>
      <c r="G11" s="1138"/>
      <c r="H11" s="1138"/>
      <c r="I11" s="995"/>
      <c r="P11" s="964"/>
      <c r="R11" s="307"/>
      <c r="S11" s="318"/>
      <c r="T11" s="321"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14.25" hidden="1" customHeight="1">
      <c r="E12" s="1138"/>
      <c r="F12" s="1138"/>
      <c r="G12" s="1138"/>
      <c r="H12" s="1137"/>
      <c r="R12" s="294"/>
      <c r="S12" s="318"/>
      <c r="T12" s="324" t="s">
        <v>414</v>
      </c>
      <c r="U12" s="117"/>
      <c r="V12" s="117"/>
      <c r="W12" s="117"/>
      <c r="X12" s="117"/>
      <c r="Y12" s="117"/>
      <c r="Z12" s="117"/>
      <c r="AA12" s="117"/>
      <c r="AB12" s="117"/>
      <c r="AC12" s="322"/>
      <c r="AD12" s="117"/>
      <c r="AE12" s="117"/>
      <c r="AF12" s="117"/>
      <c r="AG12" s="117"/>
      <c r="AH12" s="117"/>
      <c r="AI12" s="117"/>
      <c r="AJ12" s="117"/>
      <c r="AK12" s="322"/>
      <c r="AL12" s="117"/>
      <c r="AM12" s="323"/>
      <c r="AP12" s="87" t="str">
        <f t="shared" si="0"/>
        <v>Добавить схему подключения</v>
      </c>
      <c r="AS12" s="17">
        <v>0</v>
      </c>
    </row>
    <row r="13" spans="5:45" ht="0.75" hidden="1" customHeight="1">
      <c r="E13" s="1138"/>
      <c r="F13" s="1138"/>
      <c r="G13" s="1137"/>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0.75" hidden="1" customHeight="1">
      <c r="E14" s="1138"/>
      <c r="F14" s="1137"/>
      <c r="T14" s="328" t="s">
        <v>416</v>
      </c>
      <c r="AP14" s="87" t="str">
        <f t="shared" si="0"/>
        <v>Добавить централизованную систему для дифференциации</v>
      </c>
      <c r="AS14" s="75">
        <v>0</v>
      </c>
    </row>
    <row r="15" spans="5:45" ht="0.75" hidden="1" customHeight="1">
      <c r="E15" s="1137"/>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14.25" hidden="1" customHeight="1">
      <c r="O20" s="359" t="s">
        <v>418</v>
      </c>
      <c r="Z20" s="332"/>
      <c r="AB20" s="332"/>
      <c r="AH20" s="332"/>
      <c r="AJ20" s="332"/>
      <c r="AS20" s="37">
        <v>0</v>
      </c>
    </row>
    <row r="21" spans="15:45" ht="14.25" hidden="1" customHeight="1">
      <c r="AS21" s="37">
        <v>0</v>
      </c>
    </row>
    <row r="22" spans="15:45" ht="14.25" hidden="1" customHeight="1">
      <c r="O22" s="358"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14.65" customHeight="1">
      <c r="Q26" s="333"/>
      <c r="R26" s="333"/>
      <c r="S26" s="10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093"/>
      <c r="U26" s="1093"/>
      <c r="V26" s="1093"/>
      <c r="W26" s="1093"/>
      <c r="X26" s="1093"/>
      <c r="Y26" s="1093"/>
      <c r="Z26" s="1093"/>
      <c r="AA26" s="1093"/>
      <c r="AB26" s="1093"/>
      <c r="AC26" s="1093"/>
      <c r="AD26" s="1093"/>
      <c r="AE26" s="1093"/>
      <c r="AF26" s="1093"/>
      <c r="AG26" s="1093"/>
      <c r="AH26" s="1093"/>
      <c r="AI26" s="1093"/>
      <c r="AJ26" s="1093"/>
      <c r="AS26" s="17">
        <v>14</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18.7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26"/>
      <c r="Y39" s="1126"/>
      <c r="Z39" s="1126"/>
      <c r="AA39" s="1126"/>
      <c r="AB39" s="1127"/>
      <c r="AC39" s="1128" t="s">
        <v>431</v>
      </c>
      <c r="AD39" s="1125" t="s">
        <v>430</v>
      </c>
      <c r="AE39" s="1126"/>
      <c r="AF39" s="1126"/>
      <c r="AG39" s="1126"/>
      <c r="AH39" s="1126"/>
      <c r="AI39" s="1126"/>
      <c r="AJ39" s="1127"/>
      <c r="AK39" s="1128" t="s">
        <v>432</v>
      </c>
      <c r="AL39" s="1131" t="s">
        <v>433</v>
      </c>
      <c r="AM39" s="995"/>
      <c r="AS39" s="17">
        <v>14</v>
      </c>
    </row>
    <row r="40" spans="1:45" ht="35.65" customHeight="1">
      <c r="Q40" s="333"/>
      <c r="R40" s="333"/>
      <c r="S40" s="1124"/>
      <c r="T40" s="1073"/>
      <c r="U40" s="343"/>
      <c r="V40" s="1046" t="s">
        <v>434</v>
      </c>
      <c r="W40" s="1120" t="s">
        <v>435</v>
      </c>
      <c r="X40" s="977" t="s">
        <v>436</v>
      </c>
      <c r="Y40" s="976"/>
      <c r="Z40" s="977" t="s">
        <v>450</v>
      </c>
      <c r="AA40" s="982"/>
      <c r="AB40" s="976"/>
      <c r="AC40" s="1129"/>
      <c r="AD40" s="1046" t="s">
        <v>434</v>
      </c>
      <c r="AE40" s="1120" t="s">
        <v>435</v>
      </c>
      <c r="AF40" s="977" t="s">
        <v>436</v>
      </c>
      <c r="AG40" s="976"/>
      <c r="AH40" s="977" t="s">
        <v>437</v>
      </c>
      <c r="AI40" s="982"/>
      <c r="AJ40" s="976"/>
      <c r="AK40" s="1129"/>
      <c r="AL40" s="1132"/>
      <c r="AM40" s="995"/>
      <c r="AS40" s="17">
        <v>34</v>
      </c>
    </row>
    <row r="41" spans="1:45" ht="35.65" customHeight="1">
      <c r="B41" s="125" t="s">
        <v>138</v>
      </c>
      <c r="C41" s="125" t="s">
        <v>139</v>
      </c>
      <c r="D41" s="125" t="s">
        <v>140</v>
      </c>
      <c r="E41" s="358" t="s">
        <v>438</v>
      </c>
      <c r="F41" s="358" t="s">
        <v>439</v>
      </c>
      <c r="G41" s="358" t="s">
        <v>440</v>
      </c>
      <c r="H41" s="358" t="s">
        <v>441</v>
      </c>
      <c r="I41" s="358" t="s">
        <v>442</v>
      </c>
      <c r="J41" s="358" t="s">
        <v>443</v>
      </c>
      <c r="K41" s="358" t="s">
        <v>444</v>
      </c>
      <c r="L41" s="358" t="s">
        <v>419</v>
      </c>
      <c r="Q41" s="333"/>
      <c r="R41" s="333"/>
      <c r="S41" s="1124"/>
      <c r="T41" s="1073"/>
      <c r="U41" s="344"/>
      <c r="V41" s="1098"/>
      <c r="W41" s="1121"/>
      <c r="X41" s="134" t="s">
        <v>445</v>
      </c>
      <c r="Y41" s="134" t="s">
        <v>446</v>
      </c>
      <c r="Z41" s="134" t="s">
        <v>447</v>
      </c>
      <c r="AA41" s="1078" t="s">
        <v>448</v>
      </c>
      <c r="AB41" s="1092"/>
      <c r="AC41" s="1130"/>
      <c r="AD41" s="1098"/>
      <c r="AE41" s="1121"/>
      <c r="AF41" s="134" t="s">
        <v>445</v>
      </c>
      <c r="AG41" s="134" t="s">
        <v>446</v>
      </c>
      <c r="AH41" s="134" t="s">
        <v>447</v>
      </c>
      <c r="AI41" s="1078" t="s">
        <v>448</v>
      </c>
      <c r="AJ41" s="1092"/>
      <c r="AK41" s="1130"/>
      <c r="AL41" s="1133"/>
      <c r="AM41" s="995"/>
      <c r="AS41" s="17">
        <v>34</v>
      </c>
    </row>
    <row r="42" spans="1:45" ht="11.25" hidden="1" customHeight="1">
      <c r="Q42" s="347"/>
      <c r="R42" s="348">
        <v>1</v>
      </c>
      <c r="S42" s="349" t="s">
        <v>110</v>
      </c>
      <c r="T42" s="350" t="s">
        <v>111</v>
      </c>
      <c r="U42" s="351" t="str">
        <f ca="1">OFFSET(U42,0,-1)</f>
        <v>2</v>
      </c>
      <c r="V42" s="352">
        <f ca="1">OFFSET(V42,0,-1)+1</f>
        <v>3</v>
      </c>
      <c r="W42" s="352"/>
      <c r="X42" s="352">
        <f ca="1">OFFSET(X42,0,-1)+1</f>
        <v>1</v>
      </c>
      <c r="Y42" s="352">
        <f ca="1">OFFSET(Y42,0,-1)+1</f>
        <v>2</v>
      </c>
      <c r="Z42" s="352">
        <f ca="1">OFFSET(Z42,0,-1)+1</f>
        <v>3</v>
      </c>
      <c r="AA42" s="1122">
        <f ca="1">OFFSET(AA42,0,-1)+1</f>
        <v>4</v>
      </c>
      <c r="AB42" s="1122"/>
      <c r="AC42" s="352">
        <f ca="1">OFFSET(AC42,0,-2)+1</f>
        <v>5</v>
      </c>
      <c r="AD42" s="352">
        <f ca="1">OFFSET(AD42,0,-1)+1</f>
        <v>6</v>
      </c>
      <c r="AE42" s="352"/>
      <c r="AF42" s="352">
        <f ca="1">OFFSET(AF42,0,-1)+1</f>
        <v>1</v>
      </c>
      <c r="AG42" s="352">
        <f ca="1">OFFSET(AG42,0,-1)+1</f>
        <v>2</v>
      </c>
      <c r="AH42" s="352">
        <f ca="1">OFFSET(AH42,0,-1)+1</f>
        <v>3</v>
      </c>
      <c r="AI42" s="1122">
        <f ca="1">OFFSET(AI42,0,-1)+1</f>
        <v>4</v>
      </c>
      <c r="AJ42" s="1122"/>
      <c r="AK42" s="352">
        <f ca="1">OFFSET(AK42,0,-2)+1</f>
        <v>5</v>
      </c>
      <c r="AL42" s="351">
        <f ca="1">OFFSET(AL42,0,-1)</f>
        <v>5</v>
      </c>
      <c r="AM42" s="352">
        <f ca="1">OFFSET(AM42,0,-1)+1</f>
        <v>6</v>
      </c>
      <c r="AS42" s="258">
        <v>0</v>
      </c>
    </row>
    <row r="43" spans="1:45" ht="21.95" customHeight="1">
      <c r="A43" s="145" t="s">
        <v>213</v>
      </c>
      <c r="E43" s="1137">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21</v>
      </c>
    </row>
    <row r="44" spans="1:45" ht="21.95" customHeight="1">
      <c r="A44" s="145" t="s">
        <v>213</v>
      </c>
      <c r="B44" s="145" t="s">
        <v>214</v>
      </c>
      <c r="E44" s="1138"/>
      <c r="F44" s="1137">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21</v>
      </c>
    </row>
    <row r="45" spans="1:45" ht="24" customHeight="1">
      <c r="A45" s="145" t="s">
        <v>213</v>
      </c>
      <c r="B45" s="145" t="s">
        <v>214</v>
      </c>
      <c r="C45" s="145" t="s">
        <v>215</v>
      </c>
      <c r="E45" s="1138"/>
      <c r="F45" s="1138"/>
      <c r="G45" s="1137">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1.95" customHeight="1">
      <c r="A46" s="145" t="s">
        <v>213</v>
      </c>
      <c r="B46" s="145" t="s">
        <v>214</v>
      </c>
      <c r="C46" s="145" t="s">
        <v>215</v>
      </c>
      <c r="D46" s="145" t="s">
        <v>216</v>
      </c>
      <c r="E46" s="1138"/>
      <c r="F46" s="1138"/>
      <c r="G46" s="1138"/>
      <c r="H46" s="1137">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21</v>
      </c>
    </row>
    <row r="47" spans="1:45" ht="49.5" customHeight="1">
      <c r="A47" s="145" t="s">
        <v>213</v>
      </c>
      <c r="B47" s="145" t="s">
        <v>214</v>
      </c>
      <c r="C47" s="145" t="s">
        <v>215</v>
      </c>
      <c r="D47" s="145" t="s">
        <v>216</v>
      </c>
      <c r="E47" s="1138"/>
      <c r="F47" s="1138"/>
      <c r="G47" s="1138"/>
      <c r="H47" s="1138"/>
      <c r="I47" s="995" t="str">
        <f>S46&amp;".1"</f>
        <v>....1</v>
      </c>
      <c r="L47" s="358" t="s">
        <v>404</v>
      </c>
      <c r="P47" s="1115">
        <v>1</v>
      </c>
      <c r="R47" s="307"/>
      <c r="S47" s="295" t="str">
        <f>$I47</f>
        <v>....1</v>
      </c>
      <c r="T47" s="308" t="s">
        <v>405</v>
      </c>
      <c r="U47" s="297"/>
      <c r="V47" s="1100"/>
      <c r="W47" s="1101"/>
      <c r="X47" s="1101"/>
      <c r="Y47" s="1101"/>
      <c r="Z47" s="1101"/>
      <c r="AA47" s="1101"/>
      <c r="AB47" s="1101"/>
      <c r="AC47" s="1102"/>
      <c r="AD47" s="1100"/>
      <c r="AE47" s="1101"/>
      <c r="AF47" s="1101"/>
      <c r="AG47" s="1101"/>
      <c r="AH47" s="1101"/>
      <c r="AI47" s="1101"/>
      <c r="AJ47" s="1101"/>
      <c r="AK47" s="1101"/>
      <c r="AL47" s="1102"/>
      <c r="AM47" s="299" t="s">
        <v>406</v>
      </c>
      <c r="AP47" s="87" t="str">
        <f t="shared" si="1"/>
        <v>Схема подключения теплопотребляющей установки к коллектору источника тепловой энергии</v>
      </c>
      <c r="AS47" s="17">
        <v>47</v>
      </c>
    </row>
    <row r="48" spans="1:45" ht="21.95" customHeight="1">
      <c r="A48" s="145" t="s">
        <v>213</v>
      </c>
      <c r="B48" s="145" t="s">
        <v>214</v>
      </c>
      <c r="C48" s="145" t="s">
        <v>215</v>
      </c>
      <c r="D48" s="145" t="s">
        <v>216</v>
      </c>
      <c r="E48" s="1138"/>
      <c r="F48" s="1138"/>
      <c r="G48" s="1138"/>
      <c r="H48" s="1138"/>
      <c r="I48" s="977"/>
      <c r="J48" s="995" t="str">
        <f>I47&amp;".1"</f>
        <v>....1.1</v>
      </c>
      <c r="L48" s="358" t="s">
        <v>407</v>
      </c>
      <c r="P48" s="964"/>
      <c r="Q48" s="1115">
        <v>1</v>
      </c>
      <c r="R48" s="309"/>
      <c r="S48" s="295" t="str">
        <f>$J48</f>
        <v>....1.1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21</v>
      </c>
    </row>
    <row r="49" spans="1:45" ht="21.95" customHeight="1">
      <c r="A49" s="145" t="s">
        <v>213</v>
      </c>
      <c r="B49" s="145" t="s">
        <v>214</v>
      </c>
      <c r="C49" s="145" t="s">
        <v>215</v>
      </c>
      <c r="D49" s="145" t="s">
        <v>216</v>
      </c>
      <c r="E49" s="1138"/>
      <c r="F49" s="1138"/>
      <c r="G49" s="1138"/>
      <c r="H49" s="1138"/>
      <c r="I49" s="977"/>
      <c r="J49" s="977"/>
      <c r="K49" s="995" t="str">
        <f>J48&amp;".1"</f>
        <v>....1.1.1</v>
      </c>
      <c r="L49" s="358" t="s">
        <v>410</v>
      </c>
      <c r="P49" s="964"/>
      <c r="Q49" s="964"/>
      <c r="R49" s="309">
        <v>1</v>
      </c>
      <c r="S49" s="295" t="str">
        <f>$K49</f>
        <v>....1.1.1</v>
      </c>
      <c r="T49" s="311"/>
      <c r="U49" s="297"/>
      <c r="V49" s="312"/>
      <c r="W49" s="313"/>
      <c r="X49" s="312"/>
      <c r="Y49" s="314"/>
      <c r="Z49" s="1116"/>
      <c r="AA49" s="1004" t="s">
        <v>66</v>
      </c>
      <c r="AB49" s="1116"/>
      <c r="AC49" s="1004" t="s">
        <v>66</v>
      </c>
      <c r="AD49" s="312"/>
      <c r="AE49" s="313"/>
      <c r="AF49" s="312"/>
      <c r="AG49" s="314"/>
      <c r="AH49" s="1116"/>
      <c r="AI49" s="1004" t="s">
        <v>66</v>
      </c>
      <c r="AJ49" s="1118"/>
      <c r="AK49" s="1004" t="s">
        <v>66</v>
      </c>
      <c r="AL49" s="354"/>
      <c r="AM49" s="1134" t="s">
        <v>411</v>
      </c>
      <c r="AN49" s="75" t="e">
        <f ca="1">STRCHECKDATE(V50:AL50)</f>
        <v>#NAME?</v>
      </c>
      <c r="AP49" s="87" t="str">
        <f t="shared" si="1"/>
        <v/>
      </c>
      <c r="AS49" s="17">
        <v>21</v>
      </c>
    </row>
    <row r="50" spans="1:45" ht="1.1499999999999999" customHeight="1">
      <c r="A50" s="145" t="s">
        <v>213</v>
      </c>
      <c r="B50" s="145" t="s">
        <v>214</v>
      </c>
      <c r="C50" s="145" t="s">
        <v>215</v>
      </c>
      <c r="D50" s="145" t="s">
        <v>216</v>
      </c>
      <c r="E50" s="1138"/>
      <c r="F50" s="1138"/>
      <c r="G50" s="1138"/>
      <c r="H50" s="1138"/>
      <c r="I50" s="977"/>
      <c r="J50" s="977"/>
      <c r="K50" s="995"/>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1</v>
      </c>
    </row>
    <row r="51" spans="1:45" ht="11.45" customHeight="1">
      <c r="A51" s="145" t="s">
        <v>213</v>
      </c>
      <c r="B51" s="145" t="s">
        <v>214</v>
      </c>
      <c r="C51" s="145" t="s">
        <v>215</v>
      </c>
      <c r="D51" s="145" t="s">
        <v>216</v>
      </c>
      <c r="E51" s="1138"/>
      <c r="F51" s="1138"/>
      <c r="G51" s="1138"/>
      <c r="H51" s="1138"/>
      <c r="I51" s="977"/>
      <c r="J51" s="995"/>
      <c r="P51" s="964"/>
      <c r="Q51" s="964"/>
      <c r="R51" s="307"/>
      <c r="S51" s="318"/>
      <c r="T51" s="319"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145" t="s">
        <v>213</v>
      </c>
      <c r="B52" s="145" t="s">
        <v>214</v>
      </c>
      <c r="C52" s="145" t="s">
        <v>215</v>
      </c>
      <c r="D52" s="145" t="s">
        <v>216</v>
      </c>
      <c r="E52" s="1138"/>
      <c r="F52" s="1138"/>
      <c r="G52" s="1138"/>
      <c r="H52" s="1138"/>
      <c r="I52" s="995"/>
      <c r="P52" s="964"/>
      <c r="R52" s="307"/>
      <c r="S52" s="318"/>
      <c r="T52" s="321"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14.65" customHeight="1">
      <c r="A53" s="145" t="s">
        <v>213</v>
      </c>
      <c r="B53" s="145" t="s">
        <v>214</v>
      </c>
      <c r="C53" s="145" t="s">
        <v>215</v>
      </c>
      <c r="D53" s="145" t="s">
        <v>216</v>
      </c>
      <c r="E53" s="1138"/>
      <c r="F53" s="1138"/>
      <c r="G53" s="1138"/>
      <c r="H53" s="1137"/>
      <c r="R53" s="294"/>
      <c r="S53" s="318"/>
      <c r="T53" s="324" t="s">
        <v>414</v>
      </c>
      <c r="U53" s="117"/>
      <c r="V53" s="117"/>
      <c r="W53" s="117"/>
      <c r="X53" s="117"/>
      <c r="Y53" s="117"/>
      <c r="Z53" s="117"/>
      <c r="AA53" s="117"/>
      <c r="AB53" s="117"/>
      <c r="AC53" s="322"/>
      <c r="AD53" s="117"/>
      <c r="AE53" s="117"/>
      <c r="AF53" s="117"/>
      <c r="AG53" s="117"/>
      <c r="AH53" s="117"/>
      <c r="AI53" s="117"/>
      <c r="AJ53" s="117"/>
      <c r="AK53" s="322"/>
      <c r="AL53" s="117"/>
      <c r="AM53" s="323"/>
      <c r="AP53" s="87" t="str">
        <f t="shared" si="1"/>
        <v>Добавить схему подключения</v>
      </c>
      <c r="AS53" s="17">
        <v>14</v>
      </c>
    </row>
    <row r="54" spans="1:45" ht="4.1500000000000004" customHeight="1">
      <c r="A54" s="360" t="s">
        <v>213</v>
      </c>
      <c r="B54" s="360" t="s">
        <v>214</v>
      </c>
      <c r="C54" s="360" t="s">
        <v>215</v>
      </c>
      <c r="E54" s="1138"/>
      <c r="F54" s="1138"/>
      <c r="G54" s="1137"/>
      <c r="T54" s="329" t="s">
        <v>415</v>
      </c>
      <c r="AP54" s="87" t="str">
        <f t="shared" si="1"/>
        <v>Добавить источник для дифференциации</v>
      </c>
      <c r="AS54" s="75">
        <v>4</v>
      </c>
    </row>
    <row r="55" spans="1:45" ht="4.1500000000000004" customHeight="1">
      <c r="A55" s="360" t="s">
        <v>213</v>
      </c>
      <c r="B55" s="360" t="s">
        <v>214</v>
      </c>
      <c r="E55" s="1138"/>
      <c r="F55" s="1137"/>
      <c r="T55" s="329" t="s">
        <v>416</v>
      </c>
      <c r="AP55" s="87" t="str">
        <f t="shared" si="1"/>
        <v>Добавить централизованную систему для дифференциации</v>
      </c>
      <c r="AS55" s="75">
        <v>4</v>
      </c>
    </row>
    <row r="56" spans="1:45" ht="4.1500000000000004" customHeight="1">
      <c r="A56" s="360" t="s">
        <v>213</v>
      </c>
      <c r="E56" s="1137"/>
      <c r="T56" s="329" t="s">
        <v>417</v>
      </c>
      <c r="AP56" s="87" t="str">
        <f t="shared" si="1"/>
        <v>Добавить территорию для дифференциации</v>
      </c>
      <c r="AS56" s="75">
        <v>4</v>
      </c>
    </row>
    <row r="57" spans="1:45" ht="4.1500000000000004" customHeight="1">
      <c r="T57" s="329" t="s">
        <v>449</v>
      </c>
      <c r="AP57" s="87" t="str">
        <f t="shared" si="1"/>
        <v>Добавить наименование тарифа</v>
      </c>
      <c r="AS57" s="75">
        <v>4</v>
      </c>
    </row>
    <row r="58" spans="1:45" ht="11.45" customHeight="1">
      <c r="AS58" s="17">
        <v>11</v>
      </c>
    </row>
    <row r="59" spans="1:45" ht="28.5"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27</v>
      </c>
    </row>
    <row r="60" spans="1:45" ht="65.25"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62</v>
      </c>
    </row>
    <row r="61" spans="1:45" ht="14.65" customHeight="1">
      <c r="AS61" s="17">
        <v>14</v>
      </c>
    </row>
    <row r="62" spans="1:45" ht="18.75" customHeight="1">
      <c r="T62" s="964"/>
      <c r="U62" s="964"/>
      <c r="V62" s="964"/>
      <c r="W62" s="964"/>
      <c r="X62" s="964"/>
      <c r="Y62" s="964"/>
      <c r="Z62" s="964"/>
      <c r="AA62" s="964"/>
      <c r="AB62" s="964"/>
      <c r="AC62" s="964"/>
      <c r="AD62" s="964"/>
      <c r="AE62" s="964"/>
      <c r="AF62" s="964"/>
      <c r="AG62" s="964"/>
      <c r="AH62" s="964"/>
      <c r="AI62" s="964"/>
      <c r="AJ62" s="964"/>
      <c r="AK62" s="964"/>
      <c r="AL62" s="964"/>
      <c r="AM62" s="964"/>
      <c r="AS62" s="17">
        <v>18</v>
      </c>
    </row>
    <row r="63" spans="1:45" ht="18.75"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18</v>
      </c>
    </row>
    <row r="64" spans="1:45" ht="29.2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28</v>
      </c>
    </row>
    <row r="65" spans="1:45" ht="22.5" hidden="1" customHeight="1">
      <c r="A65" s="17" t="s">
        <v>82</v>
      </c>
      <c r="B65" s="17">
        <v>0</v>
      </c>
      <c r="C65" s="17">
        <v>0</v>
      </c>
      <c r="D65" s="17">
        <v>0</v>
      </c>
      <c r="E65" s="17">
        <v>0</v>
      </c>
      <c r="F65" s="17">
        <v>0</v>
      </c>
      <c r="G65" s="17">
        <v>0</v>
      </c>
      <c r="H65" s="17">
        <v>0</v>
      </c>
      <c r="I65" s="17">
        <v>0</v>
      </c>
      <c r="J65" s="17">
        <v>0</v>
      </c>
      <c r="K65" s="17">
        <v>0</v>
      </c>
      <c r="L65" s="47">
        <v>0</v>
      </c>
      <c r="M65" s="356">
        <v>0</v>
      </c>
      <c r="N65" s="356">
        <v>0</v>
      </c>
      <c r="O65" s="356">
        <v>0</v>
      </c>
      <c r="P65" s="356">
        <v>3</v>
      </c>
      <c r="Q65" s="357">
        <v>3</v>
      </c>
      <c r="R65" s="357">
        <v>3</v>
      </c>
      <c r="S65" s="33">
        <v>12</v>
      </c>
      <c r="T65" s="17">
        <v>31</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5">
        <v>10</v>
      </c>
      <c r="AO65" s="75">
        <v>10</v>
      </c>
      <c r="AP65" s="75">
        <v>10</v>
      </c>
      <c r="AQ65" s="75">
        <v>10</v>
      </c>
      <c r="AR65" s="75">
        <v>10</v>
      </c>
      <c r="AS65" s="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319D-C9E3-EDB6-19FA-52CA7F2B7D1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c r="AS1" s="17" t="s">
        <v>14</v>
      </c>
    </row>
    <row r="2" spans="5:45" ht="21" hidden="1" customHeight="1">
      <c r="E2" s="1137">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38"/>
      <c r="F3" s="1137">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38"/>
      <c r="F4" s="1138"/>
      <c r="G4" s="1137">
        <v>1</v>
      </c>
      <c r="Q4" s="300"/>
      <c r="R4" s="301"/>
      <c r="S4" s="295" t="e">
        <f>INDEX(PT_DIFFERENTIATION_NUM_CS,MATCH(C4,PT_DIFFERENTIATION_CS_ID,0))</f>
        <v>#N/A</v>
      </c>
      <c r="T4" s="303" t="s">
        <v>400</v>
      </c>
      <c r="U4" s="297"/>
      <c r="V4" s="1106"/>
      <c r="W4" s="1107"/>
      <c r="X4" s="1107"/>
      <c r="Y4" s="1107"/>
      <c r="Z4" s="1107"/>
      <c r="AA4" s="1107"/>
      <c r="AB4" s="1107"/>
      <c r="AC4" s="1108"/>
      <c r="AD4" s="1106" t="e">
        <f>INDEX(PT_DIFFERENTIATION_CS,MATCH(C4,PT_DIFFERENTIATION_CS_ID,0))</f>
        <v>#N/A</v>
      </c>
      <c r="AE4" s="1107"/>
      <c r="AF4" s="1107"/>
      <c r="AG4" s="1107"/>
      <c r="AH4" s="1107"/>
      <c r="AI4" s="1107"/>
      <c r="AJ4" s="1107"/>
      <c r="AK4" s="1107"/>
      <c r="AL4" s="1108"/>
      <c r="AM4" s="299" t="s">
        <v>401</v>
      </c>
      <c r="AP4" s="87" t="str">
        <f t="shared" si="0"/>
        <v xml:space="preserve">Наименование системы теплоснабжения </v>
      </c>
      <c r="AS4" s="17">
        <v>0</v>
      </c>
    </row>
    <row r="5" spans="5:45" ht="21" hidden="1" customHeight="1">
      <c r="E5" s="1138"/>
      <c r="F5" s="1138"/>
      <c r="G5" s="1138"/>
      <c r="H5" s="1137">
        <v>1</v>
      </c>
      <c r="Q5" s="300"/>
      <c r="R5" s="301"/>
      <c r="S5" s="295" t="e">
        <f>INDEX(PT_DIFFERENTIATION_NUM_IST_TE,MATCH(D5,PT_DIFFERENTIATION_IST_TE_ID,0))</f>
        <v>#N/A</v>
      </c>
      <c r="T5" s="304" t="s">
        <v>402</v>
      </c>
      <c r="U5" s="297"/>
      <c r="V5" s="1106"/>
      <c r="W5" s="1107"/>
      <c r="X5" s="1107"/>
      <c r="Y5" s="1107"/>
      <c r="Z5" s="1107"/>
      <c r="AA5" s="1107"/>
      <c r="AB5" s="1107"/>
      <c r="AC5" s="1108"/>
      <c r="AD5" s="1106" t="e">
        <f>INDEX(PT_DIFFERENTIATION_IST_TE,MATCH(D5,PT_DIFFERENTIATION_IST_TE_ID,0))</f>
        <v>#N/A</v>
      </c>
      <c r="AE5" s="1107"/>
      <c r="AF5" s="1107"/>
      <c r="AG5" s="1107"/>
      <c r="AH5" s="1107"/>
      <c r="AI5" s="1107"/>
      <c r="AJ5" s="1107"/>
      <c r="AK5" s="1107"/>
      <c r="AL5" s="1108"/>
      <c r="AM5" s="299" t="s">
        <v>403</v>
      </c>
      <c r="AP5" s="87" t="str">
        <f t="shared" si="0"/>
        <v xml:space="preserve">Источник тепловой энергии  </v>
      </c>
      <c r="AS5" s="17">
        <v>0</v>
      </c>
    </row>
    <row r="6" spans="5:45" ht="47.25" hidden="1" customHeight="1">
      <c r="E6" s="1138"/>
      <c r="F6" s="1138"/>
      <c r="G6" s="1138"/>
      <c r="H6" s="1138"/>
      <c r="I6" s="995" t="e">
        <f>S5&amp;".1"</f>
        <v>#N/A</v>
      </c>
      <c r="L6" s="358" t="s">
        <v>404</v>
      </c>
      <c r="P6" s="1115">
        <v>1</v>
      </c>
      <c r="R6" s="307"/>
      <c r="S6" s="295" t="e">
        <f>$I6</f>
        <v>#N/A</v>
      </c>
      <c r="T6" s="308" t="s">
        <v>405</v>
      </c>
      <c r="U6" s="297"/>
      <c r="V6" s="1100"/>
      <c r="W6" s="1101"/>
      <c r="X6" s="1101"/>
      <c r="Y6" s="1101"/>
      <c r="Z6" s="1101"/>
      <c r="AA6" s="1101"/>
      <c r="AB6" s="1101"/>
      <c r="AC6" s="1102"/>
      <c r="AD6" s="1100"/>
      <c r="AE6" s="1101"/>
      <c r="AF6" s="1101"/>
      <c r="AG6" s="1101"/>
      <c r="AH6" s="1101"/>
      <c r="AI6" s="1101"/>
      <c r="AJ6" s="1101"/>
      <c r="AK6" s="1101"/>
      <c r="AL6" s="1102"/>
      <c r="AM6" s="299" t="s">
        <v>406</v>
      </c>
      <c r="AP6" s="87" t="str">
        <f t="shared" si="0"/>
        <v>Схема подключения теплопотребляющей установки к коллектору источника тепловой энергии</v>
      </c>
      <c r="AS6" s="17">
        <v>0</v>
      </c>
    </row>
    <row r="7" spans="5:45" ht="21" hidden="1" customHeight="1">
      <c r="E7" s="1138"/>
      <c r="F7" s="1138"/>
      <c r="G7" s="1138"/>
      <c r="H7" s="1138"/>
      <c r="I7" s="977"/>
      <c r="J7" s="995" t="e">
        <f>I6&amp;".1"</f>
        <v>#N/A</v>
      </c>
      <c r="L7" s="358" t="s">
        <v>407</v>
      </c>
      <c r="P7" s="964"/>
      <c r="Q7" s="1115">
        <v>1</v>
      </c>
      <c r="R7" s="309"/>
      <c r="S7" s="295" t="e">
        <f>$J7</f>
        <v>#N/A</v>
      </c>
      <c r="T7" s="310" t="s">
        <v>408</v>
      </c>
      <c r="U7" s="297"/>
      <c r="V7" s="1100"/>
      <c r="W7" s="1101"/>
      <c r="X7" s="1101"/>
      <c r="Y7" s="1101"/>
      <c r="Z7" s="1101"/>
      <c r="AA7" s="1101"/>
      <c r="AB7" s="1101"/>
      <c r="AC7" s="1102"/>
      <c r="AD7" s="1100"/>
      <c r="AE7" s="1101"/>
      <c r="AF7" s="1101"/>
      <c r="AG7" s="1101"/>
      <c r="AH7" s="1101"/>
      <c r="AI7" s="1101"/>
      <c r="AJ7" s="1101"/>
      <c r="AK7" s="1101"/>
      <c r="AL7" s="1102"/>
      <c r="AM7" s="299" t="s">
        <v>409</v>
      </c>
      <c r="AP7" s="87" t="str">
        <f t="shared" si="0"/>
        <v>Группа потребителей</v>
      </c>
      <c r="AS7" s="17">
        <v>0</v>
      </c>
    </row>
    <row r="8" spans="5:45" ht="21" hidden="1" customHeight="1">
      <c r="E8" s="1138"/>
      <c r="F8" s="1138"/>
      <c r="G8" s="1138"/>
      <c r="H8" s="1138"/>
      <c r="I8" s="977"/>
      <c r="J8" s="977"/>
      <c r="K8" s="995" t="e">
        <f>J7&amp;".1"</f>
        <v>#N/A</v>
      </c>
      <c r="L8" s="358" t="s">
        <v>410</v>
      </c>
      <c r="P8" s="964"/>
      <c r="Q8" s="964"/>
      <c r="R8" s="309">
        <v>1</v>
      </c>
      <c r="S8" s="295" t="e">
        <f>$K8</f>
        <v>#N/A</v>
      </c>
      <c r="T8" s="311"/>
      <c r="U8" s="297"/>
      <c r="V8" s="312"/>
      <c r="W8" s="313"/>
      <c r="X8" s="312"/>
      <c r="Y8" s="314"/>
      <c r="Z8" s="1116"/>
      <c r="AA8" s="1004" t="s">
        <v>66</v>
      </c>
      <c r="AB8" s="1116"/>
      <c r="AC8" s="1004" t="s">
        <v>66</v>
      </c>
      <c r="AD8" s="312"/>
      <c r="AE8" s="313"/>
      <c r="AF8" s="312"/>
      <c r="AG8" s="314"/>
      <c r="AH8" s="1116"/>
      <c r="AI8" s="1004" t="s">
        <v>66</v>
      </c>
      <c r="AJ8" s="1116"/>
      <c r="AK8" s="1004" t="s">
        <v>66</v>
      </c>
      <c r="AL8" s="313"/>
      <c r="AM8" s="1134" t="s">
        <v>411</v>
      </c>
      <c r="AN8" s="75" t="e">
        <f ca="1">STRCHECKDATE(V9:AL9)</f>
        <v>#NAME?</v>
      </c>
      <c r="AP8" s="87" t="str">
        <f t="shared" si="0"/>
        <v/>
      </c>
      <c r="AS8" s="17">
        <v>0</v>
      </c>
    </row>
    <row r="9" spans="5:45" ht="0.75" hidden="1" customHeight="1">
      <c r="E9" s="1138"/>
      <c r="F9" s="1138"/>
      <c r="G9" s="1138"/>
      <c r="H9" s="1138"/>
      <c r="I9" s="977"/>
      <c r="J9" s="977"/>
      <c r="K9" s="995"/>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5" hidden="1" customHeight="1">
      <c r="E10" s="1138"/>
      <c r="F10" s="1138"/>
      <c r="G10" s="1138"/>
      <c r="H10" s="1138"/>
      <c r="I10" s="977"/>
      <c r="J10" s="995"/>
      <c r="P10" s="964"/>
      <c r="Q10" s="964"/>
      <c r="R10" s="307"/>
      <c r="S10" s="318"/>
      <c r="T10" s="319"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5" hidden="1" customHeight="1">
      <c r="E11" s="1138"/>
      <c r="F11" s="1138"/>
      <c r="G11" s="1138"/>
      <c r="H11" s="1138"/>
      <c r="I11" s="995"/>
      <c r="P11" s="964"/>
      <c r="R11" s="307"/>
      <c r="S11" s="318"/>
      <c r="T11" s="321"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14.25" hidden="1" customHeight="1">
      <c r="E12" s="1138"/>
      <c r="F12" s="1138"/>
      <c r="G12" s="1138"/>
      <c r="H12" s="1137"/>
      <c r="R12" s="294"/>
      <c r="S12" s="318"/>
      <c r="T12" s="324" t="s">
        <v>414</v>
      </c>
      <c r="U12" s="117"/>
      <c r="V12" s="117"/>
      <c r="W12" s="117"/>
      <c r="X12" s="117"/>
      <c r="Y12" s="117"/>
      <c r="Z12" s="117"/>
      <c r="AA12" s="117"/>
      <c r="AB12" s="117"/>
      <c r="AC12" s="322"/>
      <c r="AD12" s="117"/>
      <c r="AE12" s="117"/>
      <c r="AF12" s="117"/>
      <c r="AG12" s="117"/>
      <c r="AH12" s="117"/>
      <c r="AI12" s="117"/>
      <c r="AJ12" s="117"/>
      <c r="AK12" s="322"/>
      <c r="AL12" s="117"/>
      <c r="AM12" s="323"/>
      <c r="AP12" s="87" t="str">
        <f t="shared" si="0"/>
        <v>Добавить схему подключения</v>
      </c>
      <c r="AS12" s="17">
        <v>0</v>
      </c>
    </row>
    <row r="13" spans="5:45" ht="0.75" hidden="1" customHeight="1">
      <c r="E13" s="1138"/>
      <c r="F13" s="1138"/>
      <c r="G13" s="1137"/>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0.75" hidden="1" customHeight="1">
      <c r="E14" s="1138"/>
      <c r="F14" s="1137"/>
      <c r="T14" s="328" t="s">
        <v>416</v>
      </c>
      <c r="AP14" s="87" t="str">
        <f t="shared" si="0"/>
        <v>Добавить централизованную систему для дифференциации</v>
      </c>
      <c r="AS14" s="75">
        <v>0</v>
      </c>
    </row>
    <row r="15" spans="5:45" ht="0.75" hidden="1" customHeight="1">
      <c r="E15" s="1137"/>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14.25" hidden="1" customHeight="1">
      <c r="O20" s="359" t="s">
        <v>418</v>
      </c>
      <c r="Z20" s="332"/>
      <c r="AB20" s="332"/>
      <c r="AH20" s="332"/>
      <c r="AJ20" s="332"/>
      <c r="AS20" s="37">
        <v>0</v>
      </c>
    </row>
    <row r="21" spans="15:45" ht="14.25" hidden="1" customHeight="1">
      <c r="AS21" s="37">
        <v>0</v>
      </c>
    </row>
    <row r="22" spans="15:45" ht="14.25" hidden="1" customHeight="1">
      <c r="O22" s="358"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14.65" customHeight="1">
      <c r="Q26" s="333"/>
      <c r="R26" s="333"/>
      <c r="S26" s="10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093"/>
      <c r="U26" s="1093"/>
      <c r="V26" s="1093"/>
      <c r="W26" s="1093"/>
      <c r="X26" s="1093"/>
      <c r="Y26" s="1093"/>
      <c r="Z26" s="1093"/>
      <c r="AA26" s="1093"/>
      <c r="AB26" s="1093"/>
      <c r="AC26" s="1093"/>
      <c r="AD26" s="1093"/>
      <c r="AE26" s="1093"/>
      <c r="AF26" s="1093"/>
      <c r="AG26" s="1093"/>
      <c r="AH26" s="1093"/>
      <c r="AI26" s="1093"/>
      <c r="AJ26" s="1093"/>
      <c r="AS26" s="17">
        <v>14</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18.7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26"/>
      <c r="Y39" s="1126"/>
      <c r="Z39" s="1126"/>
      <c r="AA39" s="1126"/>
      <c r="AB39" s="1127"/>
      <c r="AC39" s="1128" t="s">
        <v>431</v>
      </c>
      <c r="AD39" s="1125" t="s">
        <v>430</v>
      </c>
      <c r="AE39" s="1126"/>
      <c r="AF39" s="1126"/>
      <c r="AG39" s="1126"/>
      <c r="AH39" s="1126"/>
      <c r="AI39" s="1126"/>
      <c r="AJ39" s="1127"/>
      <c r="AK39" s="1128" t="s">
        <v>432</v>
      </c>
      <c r="AL39" s="1131" t="s">
        <v>433</v>
      </c>
      <c r="AM39" s="995"/>
      <c r="AS39" s="17">
        <v>14</v>
      </c>
    </row>
    <row r="40" spans="1:45" ht="35.65" customHeight="1">
      <c r="Q40" s="333"/>
      <c r="R40" s="333"/>
      <c r="S40" s="1124"/>
      <c r="T40" s="1073"/>
      <c r="U40" s="343"/>
      <c r="V40" s="1046" t="s">
        <v>434</v>
      </c>
      <c r="W40" s="1120" t="s">
        <v>435</v>
      </c>
      <c r="X40" s="977" t="s">
        <v>436</v>
      </c>
      <c r="Y40" s="976"/>
      <c r="Z40" s="977" t="s">
        <v>450</v>
      </c>
      <c r="AA40" s="982"/>
      <c r="AB40" s="976"/>
      <c r="AC40" s="1129"/>
      <c r="AD40" s="1046" t="s">
        <v>434</v>
      </c>
      <c r="AE40" s="1120" t="s">
        <v>435</v>
      </c>
      <c r="AF40" s="977" t="s">
        <v>436</v>
      </c>
      <c r="AG40" s="976"/>
      <c r="AH40" s="977" t="s">
        <v>437</v>
      </c>
      <c r="AI40" s="982"/>
      <c r="AJ40" s="976"/>
      <c r="AK40" s="1129"/>
      <c r="AL40" s="1132"/>
      <c r="AM40" s="995"/>
      <c r="AS40" s="17">
        <v>34</v>
      </c>
    </row>
    <row r="41" spans="1:45" ht="35.65" customHeight="1">
      <c r="B41" s="125" t="s">
        <v>138</v>
      </c>
      <c r="C41" s="125" t="s">
        <v>139</v>
      </c>
      <c r="D41" s="125" t="s">
        <v>140</v>
      </c>
      <c r="E41" s="358" t="s">
        <v>438</v>
      </c>
      <c r="F41" s="358" t="s">
        <v>439</v>
      </c>
      <c r="G41" s="358" t="s">
        <v>440</v>
      </c>
      <c r="H41" s="358" t="s">
        <v>441</v>
      </c>
      <c r="I41" s="358" t="s">
        <v>442</v>
      </c>
      <c r="J41" s="358" t="s">
        <v>443</v>
      </c>
      <c r="K41" s="358" t="s">
        <v>444</v>
      </c>
      <c r="L41" s="358" t="s">
        <v>419</v>
      </c>
      <c r="Q41" s="333"/>
      <c r="R41" s="333"/>
      <c r="S41" s="1124"/>
      <c r="T41" s="1073"/>
      <c r="U41" s="344"/>
      <c r="V41" s="1098"/>
      <c r="W41" s="1121"/>
      <c r="X41" s="134" t="s">
        <v>445</v>
      </c>
      <c r="Y41" s="134" t="s">
        <v>446</v>
      </c>
      <c r="Z41" s="134" t="s">
        <v>447</v>
      </c>
      <c r="AA41" s="1078" t="s">
        <v>448</v>
      </c>
      <c r="AB41" s="1092"/>
      <c r="AC41" s="1130"/>
      <c r="AD41" s="1098"/>
      <c r="AE41" s="1121"/>
      <c r="AF41" s="134" t="s">
        <v>445</v>
      </c>
      <c r="AG41" s="134" t="s">
        <v>446</v>
      </c>
      <c r="AH41" s="134" t="s">
        <v>447</v>
      </c>
      <c r="AI41" s="1078" t="s">
        <v>448</v>
      </c>
      <c r="AJ41" s="1092"/>
      <c r="AK41" s="1130"/>
      <c r="AL41" s="1133"/>
      <c r="AM41" s="995"/>
      <c r="AS41" s="17">
        <v>34</v>
      </c>
    </row>
    <row r="42" spans="1:45" ht="11.25" hidden="1" customHeight="1">
      <c r="Q42" s="347"/>
      <c r="R42" s="348">
        <v>1</v>
      </c>
      <c r="S42" s="349" t="s">
        <v>110</v>
      </c>
      <c r="T42" s="350" t="s">
        <v>111</v>
      </c>
      <c r="U42" s="351" t="str">
        <f ca="1">OFFSET(U42,0,-1)</f>
        <v>2</v>
      </c>
      <c r="V42" s="352">
        <f ca="1">OFFSET(V42,0,-1)+1</f>
        <v>3</v>
      </c>
      <c r="W42" s="352"/>
      <c r="X42" s="352">
        <f ca="1">OFFSET(X42,0,-1)+1</f>
        <v>1</v>
      </c>
      <c r="Y42" s="352">
        <f ca="1">OFFSET(Y42,0,-1)+1</f>
        <v>2</v>
      </c>
      <c r="Z42" s="352">
        <f ca="1">OFFSET(Z42,0,-1)+1</f>
        <v>3</v>
      </c>
      <c r="AA42" s="1122">
        <f ca="1">OFFSET(AA42,0,-1)+1</f>
        <v>4</v>
      </c>
      <c r="AB42" s="1122"/>
      <c r="AC42" s="352">
        <f ca="1">OFFSET(AC42,0,-2)+1</f>
        <v>5</v>
      </c>
      <c r="AD42" s="352">
        <f ca="1">OFFSET(AD42,0,-1)+1</f>
        <v>6</v>
      </c>
      <c r="AE42" s="352"/>
      <c r="AF42" s="352">
        <f ca="1">OFFSET(AF42,0,-1)+1</f>
        <v>1</v>
      </c>
      <c r="AG42" s="352">
        <f ca="1">OFFSET(AG42,0,-1)+1</f>
        <v>2</v>
      </c>
      <c r="AH42" s="352">
        <f ca="1">OFFSET(AH42,0,-1)+1</f>
        <v>3</v>
      </c>
      <c r="AI42" s="1122">
        <f ca="1">OFFSET(AI42,0,-1)+1</f>
        <v>4</v>
      </c>
      <c r="AJ42" s="1122"/>
      <c r="AK42" s="352">
        <f ca="1">OFFSET(AK42,0,-2)+1</f>
        <v>5</v>
      </c>
      <c r="AL42" s="351">
        <f ca="1">OFFSET(AL42,0,-1)</f>
        <v>5</v>
      </c>
      <c r="AM42" s="352">
        <f ca="1">OFFSET(AM42,0,-1)+1</f>
        <v>6</v>
      </c>
      <c r="AS42" s="258">
        <v>0</v>
      </c>
    </row>
    <row r="43" spans="1:45" ht="21.95" customHeight="1">
      <c r="A43" s="145" t="s">
        <v>213</v>
      </c>
      <c r="E43" s="1137">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21</v>
      </c>
    </row>
    <row r="44" spans="1:45" ht="21.95" customHeight="1">
      <c r="A44" s="145" t="s">
        <v>213</v>
      </c>
      <c r="B44" s="145" t="s">
        <v>214</v>
      </c>
      <c r="E44" s="1138"/>
      <c r="F44" s="1137">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21</v>
      </c>
    </row>
    <row r="45" spans="1:45" ht="24" customHeight="1">
      <c r="A45" s="145" t="s">
        <v>213</v>
      </c>
      <c r="B45" s="145" t="s">
        <v>214</v>
      </c>
      <c r="C45" s="145" t="s">
        <v>215</v>
      </c>
      <c r="E45" s="1138"/>
      <c r="F45" s="1138"/>
      <c r="G45" s="1137">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1.95" customHeight="1">
      <c r="A46" s="145" t="s">
        <v>213</v>
      </c>
      <c r="B46" s="145" t="s">
        <v>214</v>
      </c>
      <c r="C46" s="145" t="s">
        <v>215</v>
      </c>
      <c r="D46" s="145" t="s">
        <v>216</v>
      </c>
      <c r="E46" s="1138"/>
      <c r="F46" s="1138"/>
      <c r="G46" s="1138"/>
      <c r="H46" s="1137">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21</v>
      </c>
    </row>
    <row r="47" spans="1:45" ht="49.5" customHeight="1">
      <c r="A47" s="145" t="s">
        <v>213</v>
      </c>
      <c r="B47" s="145" t="s">
        <v>214</v>
      </c>
      <c r="C47" s="145" t="s">
        <v>215</v>
      </c>
      <c r="D47" s="145" t="s">
        <v>216</v>
      </c>
      <c r="E47" s="1138"/>
      <c r="F47" s="1138"/>
      <c r="G47" s="1138"/>
      <c r="H47" s="1138"/>
      <c r="I47" s="995" t="str">
        <f>S46&amp;".1"</f>
        <v>....1</v>
      </c>
      <c r="L47" s="358" t="s">
        <v>404</v>
      </c>
      <c r="P47" s="1115">
        <v>1</v>
      </c>
      <c r="R47" s="307"/>
      <c r="S47" s="295" t="str">
        <f>$I47</f>
        <v>....1</v>
      </c>
      <c r="T47" s="308" t="s">
        <v>405</v>
      </c>
      <c r="U47" s="297"/>
      <c r="V47" s="1100"/>
      <c r="W47" s="1101"/>
      <c r="X47" s="1101"/>
      <c r="Y47" s="1101"/>
      <c r="Z47" s="1101"/>
      <c r="AA47" s="1101"/>
      <c r="AB47" s="1101"/>
      <c r="AC47" s="1102"/>
      <c r="AD47" s="1100"/>
      <c r="AE47" s="1101"/>
      <c r="AF47" s="1101"/>
      <c r="AG47" s="1101"/>
      <c r="AH47" s="1101"/>
      <c r="AI47" s="1101"/>
      <c r="AJ47" s="1101"/>
      <c r="AK47" s="1101"/>
      <c r="AL47" s="1102"/>
      <c r="AM47" s="299" t="s">
        <v>406</v>
      </c>
      <c r="AP47" s="87" t="str">
        <f t="shared" si="1"/>
        <v>Схема подключения теплопотребляющей установки к коллектору источника тепловой энергии</v>
      </c>
      <c r="AS47" s="17">
        <v>47</v>
      </c>
    </row>
    <row r="48" spans="1:45" ht="21.95" customHeight="1">
      <c r="A48" s="145" t="s">
        <v>213</v>
      </c>
      <c r="B48" s="145" t="s">
        <v>214</v>
      </c>
      <c r="C48" s="145" t="s">
        <v>215</v>
      </c>
      <c r="D48" s="145" t="s">
        <v>216</v>
      </c>
      <c r="E48" s="1138"/>
      <c r="F48" s="1138"/>
      <c r="G48" s="1138"/>
      <c r="H48" s="1138"/>
      <c r="I48" s="977"/>
      <c r="J48" s="995" t="str">
        <f>I47&amp;".1"</f>
        <v>....1.1</v>
      </c>
      <c r="L48" s="358" t="s">
        <v>407</v>
      </c>
      <c r="P48" s="964"/>
      <c r="Q48" s="1115">
        <v>1</v>
      </c>
      <c r="R48" s="309"/>
      <c r="S48" s="295" t="str">
        <f>$J48</f>
        <v>....1.1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21</v>
      </c>
    </row>
    <row r="49" spans="1:45" ht="21.95" customHeight="1">
      <c r="A49" s="145" t="s">
        <v>213</v>
      </c>
      <c r="B49" s="145" t="s">
        <v>214</v>
      </c>
      <c r="C49" s="145" t="s">
        <v>215</v>
      </c>
      <c r="D49" s="145" t="s">
        <v>216</v>
      </c>
      <c r="E49" s="1138"/>
      <c r="F49" s="1138"/>
      <c r="G49" s="1138"/>
      <c r="H49" s="1138"/>
      <c r="I49" s="977"/>
      <c r="J49" s="977"/>
      <c r="K49" s="995" t="str">
        <f>J48&amp;".1"</f>
        <v>....1.1.1</v>
      </c>
      <c r="L49" s="358" t="s">
        <v>410</v>
      </c>
      <c r="P49" s="964"/>
      <c r="Q49" s="964"/>
      <c r="R49" s="309">
        <v>1</v>
      </c>
      <c r="S49" s="295" t="str">
        <f>$K49</f>
        <v>....1.1.1</v>
      </c>
      <c r="T49" s="311"/>
      <c r="U49" s="297"/>
      <c r="V49" s="312"/>
      <c r="W49" s="313"/>
      <c r="X49" s="312"/>
      <c r="Y49" s="314"/>
      <c r="Z49" s="1116"/>
      <c r="AA49" s="1004" t="s">
        <v>66</v>
      </c>
      <c r="AB49" s="1116"/>
      <c r="AC49" s="1004" t="s">
        <v>66</v>
      </c>
      <c r="AD49" s="312"/>
      <c r="AE49" s="313"/>
      <c r="AF49" s="312"/>
      <c r="AG49" s="314"/>
      <c r="AH49" s="1116"/>
      <c r="AI49" s="1004" t="s">
        <v>66</v>
      </c>
      <c r="AJ49" s="1118"/>
      <c r="AK49" s="1004" t="s">
        <v>66</v>
      </c>
      <c r="AL49" s="354"/>
      <c r="AM49" s="1134" t="s">
        <v>411</v>
      </c>
      <c r="AN49" s="75" t="e">
        <f ca="1">STRCHECKDATE(V50:AL50)</f>
        <v>#NAME?</v>
      </c>
      <c r="AP49" s="87" t="str">
        <f t="shared" si="1"/>
        <v/>
      </c>
      <c r="AS49" s="17">
        <v>21</v>
      </c>
    </row>
    <row r="50" spans="1:45" ht="1.1499999999999999" customHeight="1">
      <c r="A50" s="145" t="s">
        <v>213</v>
      </c>
      <c r="B50" s="145" t="s">
        <v>214</v>
      </c>
      <c r="C50" s="145" t="s">
        <v>215</v>
      </c>
      <c r="D50" s="145" t="s">
        <v>216</v>
      </c>
      <c r="E50" s="1138"/>
      <c r="F50" s="1138"/>
      <c r="G50" s="1138"/>
      <c r="H50" s="1138"/>
      <c r="I50" s="977"/>
      <c r="J50" s="977"/>
      <c r="K50" s="995"/>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1</v>
      </c>
    </row>
    <row r="51" spans="1:45" ht="11.45" customHeight="1">
      <c r="A51" s="145" t="s">
        <v>213</v>
      </c>
      <c r="B51" s="145" t="s">
        <v>214</v>
      </c>
      <c r="C51" s="145" t="s">
        <v>215</v>
      </c>
      <c r="D51" s="145" t="s">
        <v>216</v>
      </c>
      <c r="E51" s="1138"/>
      <c r="F51" s="1138"/>
      <c r="G51" s="1138"/>
      <c r="H51" s="1138"/>
      <c r="I51" s="977"/>
      <c r="J51" s="995"/>
      <c r="P51" s="964"/>
      <c r="Q51" s="964"/>
      <c r="R51" s="307"/>
      <c r="S51" s="318"/>
      <c r="T51" s="319"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145" t="s">
        <v>213</v>
      </c>
      <c r="B52" s="145" t="s">
        <v>214</v>
      </c>
      <c r="C52" s="145" t="s">
        <v>215</v>
      </c>
      <c r="D52" s="145" t="s">
        <v>216</v>
      </c>
      <c r="E52" s="1138"/>
      <c r="F52" s="1138"/>
      <c r="G52" s="1138"/>
      <c r="H52" s="1138"/>
      <c r="I52" s="995"/>
      <c r="P52" s="964"/>
      <c r="R52" s="307"/>
      <c r="S52" s="318"/>
      <c r="T52" s="321"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14.65" customHeight="1">
      <c r="A53" s="145" t="s">
        <v>213</v>
      </c>
      <c r="B53" s="145" t="s">
        <v>214</v>
      </c>
      <c r="C53" s="145" t="s">
        <v>215</v>
      </c>
      <c r="D53" s="145" t="s">
        <v>216</v>
      </c>
      <c r="E53" s="1138"/>
      <c r="F53" s="1138"/>
      <c r="G53" s="1138"/>
      <c r="H53" s="1137"/>
      <c r="R53" s="294"/>
      <c r="S53" s="318"/>
      <c r="T53" s="324" t="s">
        <v>414</v>
      </c>
      <c r="U53" s="117"/>
      <c r="V53" s="117"/>
      <c r="W53" s="117"/>
      <c r="X53" s="117"/>
      <c r="Y53" s="117"/>
      <c r="Z53" s="117"/>
      <c r="AA53" s="117"/>
      <c r="AB53" s="117"/>
      <c r="AC53" s="322"/>
      <c r="AD53" s="117"/>
      <c r="AE53" s="117"/>
      <c r="AF53" s="117"/>
      <c r="AG53" s="117"/>
      <c r="AH53" s="117"/>
      <c r="AI53" s="117"/>
      <c r="AJ53" s="117"/>
      <c r="AK53" s="322"/>
      <c r="AL53" s="117"/>
      <c r="AM53" s="323"/>
      <c r="AP53" s="87" t="str">
        <f t="shared" si="1"/>
        <v>Добавить схему подключения</v>
      </c>
      <c r="AS53" s="17">
        <v>14</v>
      </c>
    </row>
    <row r="54" spans="1:45" ht="1.1499999999999999" customHeight="1">
      <c r="A54" s="145" t="s">
        <v>213</v>
      </c>
      <c r="B54" s="145" t="s">
        <v>214</v>
      </c>
      <c r="C54" s="145" t="s">
        <v>215</v>
      </c>
      <c r="E54" s="1138"/>
      <c r="F54" s="1138"/>
      <c r="G54" s="1137"/>
      <c r="T54" s="329" t="s">
        <v>415</v>
      </c>
      <c r="AP54" s="87" t="str">
        <f t="shared" si="1"/>
        <v>Добавить источник для дифференциации</v>
      </c>
      <c r="AS54" s="75">
        <v>1</v>
      </c>
    </row>
    <row r="55" spans="1:45" ht="1.1499999999999999" customHeight="1">
      <c r="A55" s="145" t="s">
        <v>213</v>
      </c>
      <c r="B55" s="145" t="s">
        <v>214</v>
      </c>
      <c r="E55" s="1138"/>
      <c r="F55" s="1137"/>
      <c r="T55" s="329" t="s">
        <v>416</v>
      </c>
      <c r="AP55" s="87" t="str">
        <f t="shared" si="1"/>
        <v>Добавить централизованную систему для дифференциации</v>
      </c>
      <c r="AS55" s="75">
        <v>1</v>
      </c>
    </row>
    <row r="56" spans="1:45" ht="1.1499999999999999" customHeight="1">
      <c r="A56" s="145" t="s">
        <v>213</v>
      </c>
      <c r="E56" s="1137"/>
      <c r="T56" s="329" t="s">
        <v>417</v>
      </c>
      <c r="AP56" s="87" t="str">
        <f t="shared" si="1"/>
        <v>Добавить территорию для дифференциации</v>
      </c>
      <c r="AS56" s="75">
        <v>1</v>
      </c>
    </row>
    <row r="57" spans="1:45" ht="1.1499999999999999" customHeight="1">
      <c r="T57" s="329" t="s">
        <v>449</v>
      </c>
      <c r="AP57" s="87" t="str">
        <f t="shared" si="1"/>
        <v>Добавить наименование тарифа</v>
      </c>
      <c r="AS57" s="75">
        <v>1</v>
      </c>
    </row>
    <row r="58" spans="1:45" ht="11.45" customHeight="1">
      <c r="AS58" s="17">
        <v>11</v>
      </c>
    </row>
    <row r="59" spans="1:45" ht="28.5"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27</v>
      </c>
    </row>
    <row r="60" spans="1:45" ht="65.25"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62</v>
      </c>
    </row>
    <row r="61" spans="1:45" ht="14.65" customHeight="1">
      <c r="AS61" s="17">
        <v>14</v>
      </c>
    </row>
    <row r="62" spans="1:45" ht="18.75" customHeight="1">
      <c r="T62" s="964"/>
      <c r="U62" s="964"/>
      <c r="V62" s="964"/>
      <c r="W62" s="964"/>
      <c r="X62" s="964"/>
      <c r="Y62" s="964"/>
      <c r="Z62" s="964"/>
      <c r="AA62" s="964"/>
      <c r="AB62" s="964"/>
      <c r="AC62" s="964"/>
      <c r="AD62" s="964"/>
      <c r="AE62" s="964"/>
      <c r="AF62" s="964"/>
      <c r="AG62" s="964"/>
      <c r="AH62" s="964"/>
      <c r="AI62" s="964"/>
      <c r="AJ62" s="964"/>
      <c r="AK62" s="964"/>
      <c r="AL62" s="964"/>
      <c r="AM62" s="964"/>
      <c r="AS62" s="17">
        <v>18</v>
      </c>
    </row>
    <row r="63" spans="1:45" ht="18.75"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18</v>
      </c>
    </row>
    <row r="64" spans="1:45" ht="29.2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28</v>
      </c>
    </row>
    <row r="65" spans="1:45" ht="22.5" hidden="1" customHeight="1">
      <c r="A65" s="17" t="s">
        <v>82</v>
      </c>
      <c r="B65" s="17">
        <v>0</v>
      </c>
      <c r="C65" s="17">
        <v>0</v>
      </c>
      <c r="D65" s="17">
        <v>0</v>
      </c>
      <c r="E65" s="17">
        <v>0</v>
      </c>
      <c r="F65" s="17">
        <v>0</v>
      </c>
      <c r="G65" s="17">
        <v>0</v>
      </c>
      <c r="H65" s="17">
        <v>0</v>
      </c>
      <c r="I65" s="17">
        <v>0</v>
      </c>
      <c r="J65" s="17">
        <v>0</v>
      </c>
      <c r="K65" s="17">
        <v>0</v>
      </c>
      <c r="L65" s="47">
        <v>0</v>
      </c>
      <c r="M65" s="356">
        <v>0</v>
      </c>
      <c r="N65" s="356">
        <v>0</v>
      </c>
      <c r="O65" s="356">
        <v>0</v>
      </c>
      <c r="P65" s="356">
        <v>3</v>
      </c>
      <c r="Q65" s="357">
        <v>3</v>
      </c>
      <c r="R65" s="357">
        <v>3</v>
      </c>
      <c r="S65" s="33">
        <v>12</v>
      </c>
      <c r="T65" s="17">
        <v>31</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5">
        <v>10</v>
      </c>
      <c r="AO65" s="75">
        <v>10</v>
      </c>
      <c r="AP65" s="75">
        <v>10</v>
      </c>
      <c r="AQ65" s="75">
        <v>10</v>
      </c>
      <c r="AR65" s="75">
        <v>10</v>
      </c>
      <c r="AS65" s="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2AB8-E175-42B9-7083-6AEFA2512C2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03125" hidden="1" customWidth="1"/>
    <col min="30" max="30" width="0.140625" customWidth="1"/>
    <col min="31" max="31" width="24" customWidth="1"/>
    <col min="32" max="33" width="0.140625"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c r="AS1" s="17" t="s">
        <v>14</v>
      </c>
    </row>
    <row r="2" spans="5:45" ht="21" hidden="1" customHeight="1">
      <c r="E2" s="1111">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12"/>
      <c r="F4" s="1112"/>
      <c r="G4" s="1111">
        <v>1</v>
      </c>
      <c r="Q4" s="300"/>
      <c r="R4" s="301"/>
      <c r="S4" s="295" t="e">
        <f>INDEX(PT_DIFFERENTIATION_NUM_CS,MATCH(C4,PT_DIFFERENTIATION_CS_ID,0))</f>
        <v>#N/A</v>
      </c>
      <c r="T4" s="303" t="s">
        <v>400</v>
      </c>
      <c r="U4" s="297"/>
      <c r="V4" s="1106"/>
      <c r="W4" s="1107"/>
      <c r="X4" s="1107"/>
      <c r="Y4" s="1107"/>
      <c r="Z4" s="1107"/>
      <c r="AA4" s="1107"/>
      <c r="AB4" s="1107"/>
      <c r="AC4" s="1108"/>
      <c r="AD4" s="1106" t="e">
        <f>INDEX(PT_DIFFERENTIATION_CS,MATCH(C4,PT_DIFFERENTIATION_CS_ID,0))</f>
        <v>#N/A</v>
      </c>
      <c r="AE4" s="1107"/>
      <c r="AF4" s="1107"/>
      <c r="AG4" s="1107"/>
      <c r="AH4" s="1107"/>
      <c r="AI4" s="1107"/>
      <c r="AJ4" s="1107"/>
      <c r="AK4" s="1107"/>
      <c r="AL4" s="1108"/>
      <c r="AM4" s="299" t="s">
        <v>401</v>
      </c>
      <c r="AP4" s="87" t="str">
        <f t="shared" si="0"/>
        <v xml:space="preserve">Наименование системы теплоснабжения </v>
      </c>
      <c r="AS4" s="17">
        <v>0</v>
      </c>
    </row>
    <row r="5" spans="5:45" ht="21" hidden="1" customHeight="1">
      <c r="E5" s="1112"/>
      <c r="F5" s="1112"/>
      <c r="G5" s="1112"/>
      <c r="H5" s="1111">
        <v>1</v>
      </c>
      <c r="Q5" s="300"/>
      <c r="R5" s="301"/>
      <c r="S5" s="295" t="e">
        <f>INDEX(PT_DIFFERENTIATION_NUM_IST_TE,MATCH(D5,PT_DIFFERENTIATION_IST_TE_ID,0))</f>
        <v>#N/A</v>
      </c>
      <c r="T5" s="304" t="s">
        <v>402</v>
      </c>
      <c r="U5" s="297"/>
      <c r="V5" s="1106"/>
      <c r="W5" s="1107"/>
      <c r="X5" s="1107"/>
      <c r="Y5" s="1107"/>
      <c r="Z5" s="1107"/>
      <c r="AA5" s="1107"/>
      <c r="AB5" s="1107"/>
      <c r="AC5" s="1108"/>
      <c r="AD5" s="1106" t="e">
        <f>INDEX(PT_DIFFERENTIATION_IST_TE,MATCH(D5,PT_DIFFERENTIATION_IST_TE_ID,0))</f>
        <v>#N/A</v>
      </c>
      <c r="AE5" s="1107"/>
      <c r="AF5" s="1107"/>
      <c r="AG5" s="1107"/>
      <c r="AH5" s="1107"/>
      <c r="AI5" s="1107"/>
      <c r="AJ5" s="1107"/>
      <c r="AK5" s="1107"/>
      <c r="AL5" s="1108"/>
      <c r="AM5" s="299" t="s">
        <v>403</v>
      </c>
      <c r="AP5" s="87" t="str">
        <f t="shared" si="0"/>
        <v xml:space="preserve">Источник тепловой энергии  </v>
      </c>
      <c r="AS5" s="17">
        <v>0</v>
      </c>
    </row>
    <row r="6" spans="5:45" ht="47.25" hidden="1" customHeight="1">
      <c r="E6" s="1112"/>
      <c r="F6" s="1112"/>
      <c r="G6" s="1112"/>
      <c r="H6" s="1112"/>
      <c r="I6" s="1113" t="e">
        <f>S5&amp;".1"</f>
        <v>#N/A</v>
      </c>
      <c r="L6" s="306" t="s">
        <v>404</v>
      </c>
      <c r="P6" s="1115">
        <v>1</v>
      </c>
      <c r="R6" s="307"/>
      <c r="S6" s="295" t="e">
        <f>$I6</f>
        <v>#N/A</v>
      </c>
      <c r="T6" s="308" t="s">
        <v>405</v>
      </c>
      <c r="U6" s="297"/>
      <c r="V6" s="1100"/>
      <c r="W6" s="1101"/>
      <c r="X6" s="1101"/>
      <c r="Y6" s="1101"/>
      <c r="Z6" s="1101"/>
      <c r="AA6" s="1101"/>
      <c r="AB6" s="1101"/>
      <c r="AC6" s="1102"/>
      <c r="AD6" s="1100"/>
      <c r="AE6" s="1101"/>
      <c r="AF6" s="1101"/>
      <c r="AG6" s="1101"/>
      <c r="AH6" s="1101"/>
      <c r="AI6" s="1101"/>
      <c r="AJ6" s="1101"/>
      <c r="AK6" s="1101"/>
      <c r="AL6" s="1102"/>
      <c r="AM6" s="299" t="s">
        <v>406</v>
      </c>
      <c r="AP6" s="87" t="str">
        <f t="shared" si="0"/>
        <v>Схема подключения теплопотребляющей установки к коллектору источника тепловой энергии</v>
      </c>
      <c r="AS6" s="17">
        <v>0</v>
      </c>
    </row>
    <row r="7" spans="5:45" ht="21" hidden="1" customHeight="1">
      <c r="E7" s="1112"/>
      <c r="F7" s="1112"/>
      <c r="G7" s="1112"/>
      <c r="H7" s="1112"/>
      <c r="I7" s="1114"/>
      <c r="J7" s="1113" t="e">
        <f>I6&amp;".1"</f>
        <v>#N/A</v>
      </c>
      <c r="L7" s="306" t="s">
        <v>407</v>
      </c>
      <c r="P7" s="964"/>
      <c r="Q7" s="1115">
        <v>1</v>
      </c>
      <c r="R7" s="309"/>
      <c r="S7" s="295" t="e">
        <f>$J7</f>
        <v>#N/A</v>
      </c>
      <c r="T7" s="310" t="s">
        <v>408</v>
      </c>
      <c r="U7" s="297"/>
      <c r="V7" s="1100"/>
      <c r="W7" s="1101"/>
      <c r="X7" s="1101"/>
      <c r="Y7" s="1101"/>
      <c r="Z7" s="1101"/>
      <c r="AA7" s="1101"/>
      <c r="AB7" s="1101"/>
      <c r="AC7" s="1102"/>
      <c r="AD7" s="1100"/>
      <c r="AE7" s="1101"/>
      <c r="AF7" s="1101"/>
      <c r="AG7" s="1101"/>
      <c r="AH7" s="1101"/>
      <c r="AI7" s="1101"/>
      <c r="AJ7" s="1101"/>
      <c r="AK7" s="1101"/>
      <c r="AL7" s="1102"/>
      <c r="AM7" s="299" t="s">
        <v>409</v>
      </c>
      <c r="AP7" s="87" t="str">
        <f t="shared" si="0"/>
        <v>Группа потребителей</v>
      </c>
      <c r="AS7" s="17">
        <v>0</v>
      </c>
    </row>
    <row r="8" spans="5:45" ht="21" hidden="1" customHeight="1">
      <c r="E8" s="1112"/>
      <c r="F8" s="1112"/>
      <c r="G8" s="1112"/>
      <c r="H8" s="1112"/>
      <c r="I8" s="1114"/>
      <c r="J8" s="1114"/>
      <c r="K8" s="1113" t="e">
        <f>J7&amp;".1"</f>
        <v>#N/A</v>
      </c>
      <c r="L8" s="306" t="s">
        <v>410</v>
      </c>
      <c r="P8" s="964"/>
      <c r="Q8" s="964"/>
      <c r="R8" s="309">
        <v>1</v>
      </c>
      <c r="S8" s="295" t="e">
        <f>$K8</f>
        <v>#N/A</v>
      </c>
      <c r="T8" s="311"/>
      <c r="U8" s="297"/>
      <c r="V8" s="313"/>
      <c r="W8" s="312"/>
      <c r="X8" s="313"/>
      <c r="Y8" s="361"/>
      <c r="Z8" s="1116"/>
      <c r="AA8" s="1004" t="s">
        <v>66</v>
      </c>
      <c r="AB8" s="1116"/>
      <c r="AC8" s="1004" t="s">
        <v>66</v>
      </c>
      <c r="AD8" s="313"/>
      <c r="AE8" s="312"/>
      <c r="AF8" s="313"/>
      <c r="AG8" s="361"/>
      <c r="AH8" s="1116"/>
      <c r="AI8" s="1004" t="s">
        <v>66</v>
      </c>
      <c r="AJ8" s="1116"/>
      <c r="AK8" s="1004" t="s">
        <v>66</v>
      </c>
      <c r="AL8" s="313"/>
      <c r="AM8" s="1134" t="s">
        <v>411</v>
      </c>
      <c r="AN8" s="75" t="e">
        <f ca="1">STRCHECKDATE(V9:AL9)</f>
        <v>#NAME?</v>
      </c>
      <c r="AP8" s="87" t="str">
        <f t="shared" si="0"/>
        <v/>
      </c>
      <c r="AS8" s="17">
        <v>0</v>
      </c>
    </row>
    <row r="9" spans="5:45" ht="0.75" hidden="1" customHeight="1">
      <c r="E9" s="1112"/>
      <c r="F9" s="1112"/>
      <c r="G9" s="1112"/>
      <c r="H9" s="1112"/>
      <c r="I9" s="1114"/>
      <c r="J9" s="1114"/>
      <c r="K9" s="1113"/>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5" hidden="1" customHeight="1">
      <c r="E10" s="1112"/>
      <c r="F10" s="1112"/>
      <c r="G10" s="1112"/>
      <c r="H10" s="1112"/>
      <c r="I10" s="1114"/>
      <c r="J10" s="1113"/>
      <c r="P10" s="964"/>
      <c r="Q10" s="964"/>
      <c r="R10" s="307"/>
      <c r="S10" s="318"/>
      <c r="T10" s="319"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5" hidden="1" customHeight="1">
      <c r="E11" s="1112"/>
      <c r="F11" s="1112"/>
      <c r="G11" s="1112"/>
      <c r="H11" s="1112"/>
      <c r="I11" s="1113"/>
      <c r="P11" s="964"/>
      <c r="R11" s="307"/>
      <c r="S11" s="318"/>
      <c r="T11" s="321"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14.25" hidden="1" customHeight="1">
      <c r="E12" s="1112"/>
      <c r="F12" s="1112"/>
      <c r="G12" s="1112"/>
      <c r="H12" s="1111"/>
      <c r="R12" s="294"/>
      <c r="S12" s="318"/>
      <c r="T12" s="324" t="s">
        <v>414</v>
      </c>
      <c r="U12" s="117"/>
      <c r="V12" s="117"/>
      <c r="W12" s="117"/>
      <c r="X12" s="117"/>
      <c r="Y12" s="117"/>
      <c r="Z12" s="117"/>
      <c r="AA12" s="117"/>
      <c r="AB12" s="117"/>
      <c r="AC12" s="322"/>
      <c r="AD12" s="117"/>
      <c r="AE12" s="117"/>
      <c r="AF12" s="117"/>
      <c r="AG12" s="117"/>
      <c r="AH12" s="117"/>
      <c r="AI12" s="117"/>
      <c r="AJ12" s="117"/>
      <c r="AK12" s="322"/>
      <c r="AL12" s="117"/>
      <c r="AM12" s="323"/>
      <c r="AP12" s="87" t="str">
        <f t="shared" si="0"/>
        <v>Добавить схему подключения</v>
      </c>
      <c r="AS12" s="17">
        <v>0</v>
      </c>
    </row>
    <row r="13" spans="5:45" ht="0.75" hidden="1" customHeight="1">
      <c r="E13" s="1112"/>
      <c r="F13" s="1112"/>
      <c r="G13" s="1111"/>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0.75" hidden="1" customHeight="1">
      <c r="E14" s="1112"/>
      <c r="F14" s="1111"/>
      <c r="T14" s="328" t="s">
        <v>416</v>
      </c>
      <c r="AP14" s="87" t="str">
        <f t="shared" si="0"/>
        <v>Добавить централизованную систему для дифференциации</v>
      </c>
      <c r="AS14" s="75">
        <v>0</v>
      </c>
    </row>
    <row r="15" spans="5:45" ht="0.75" hidden="1" customHeight="1">
      <c r="E15" s="1111"/>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22.5" hidden="1" customHeight="1">
      <c r="O20" s="332" t="s">
        <v>418</v>
      </c>
      <c r="Z20" s="332"/>
      <c r="AB20" s="332"/>
      <c r="AH20" s="332"/>
      <c r="AJ20" s="332"/>
      <c r="AS20" s="37">
        <v>0</v>
      </c>
    </row>
    <row r="21" spans="15:45" ht="14.25" hidden="1" customHeight="1">
      <c r="AS21" s="37">
        <v>0</v>
      </c>
    </row>
    <row r="22" spans="15:45" ht="33.75" hidden="1" customHeight="1">
      <c r="O22" s="306"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29.25" customHeight="1">
      <c r="Q26" s="333"/>
      <c r="R26" s="333"/>
      <c r="S26" s="10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093"/>
      <c r="U26" s="1093"/>
      <c r="V26" s="1093"/>
      <c r="W26" s="1093"/>
      <c r="X26" s="1093"/>
      <c r="Y26" s="1093"/>
      <c r="Z26" s="1093"/>
      <c r="AA26" s="1093"/>
      <c r="AB26" s="1093"/>
      <c r="AC26" s="1093"/>
      <c r="AD26" s="1093"/>
      <c r="AE26" s="1093"/>
      <c r="AF26" s="1093"/>
      <c r="AG26" s="1093"/>
      <c r="AH26" s="1093"/>
      <c r="AI26" s="1093"/>
      <c r="AJ26" s="1093"/>
      <c r="AS26" s="17">
        <v>28</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18.7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41"/>
      <c r="Y39" s="1141"/>
      <c r="Z39" s="1126"/>
      <c r="AA39" s="1126"/>
      <c r="AB39" s="1127"/>
      <c r="AC39" s="1128" t="s">
        <v>431</v>
      </c>
      <c r="AD39" s="1125" t="s">
        <v>430</v>
      </c>
      <c r="AE39" s="1126"/>
      <c r="AF39" s="1141"/>
      <c r="AG39" s="1141"/>
      <c r="AH39" s="1126"/>
      <c r="AI39" s="1126"/>
      <c r="AJ39" s="1127"/>
      <c r="AK39" s="1128" t="s">
        <v>432</v>
      </c>
      <c r="AL39" s="1131" t="s">
        <v>433</v>
      </c>
      <c r="AM39" s="995"/>
      <c r="AS39" s="17">
        <v>14</v>
      </c>
    </row>
    <row r="40" spans="1:45" ht="24" customHeight="1">
      <c r="Q40" s="333"/>
      <c r="R40" s="333"/>
      <c r="S40" s="1124"/>
      <c r="T40" s="1073"/>
      <c r="U40" s="343"/>
      <c r="V40" s="1139" t="s">
        <v>434</v>
      </c>
      <c r="W40" s="1047" t="s">
        <v>435</v>
      </c>
      <c r="X40" s="192" t="s">
        <v>436</v>
      </c>
      <c r="Y40" s="192"/>
      <c r="Z40" s="982" t="s">
        <v>437</v>
      </c>
      <c r="AA40" s="982"/>
      <c r="AB40" s="976"/>
      <c r="AC40" s="1129"/>
      <c r="AD40" s="1139" t="s">
        <v>434</v>
      </c>
      <c r="AE40" s="1047" t="s">
        <v>435</v>
      </c>
      <c r="AF40" s="192" t="s">
        <v>436</v>
      </c>
      <c r="AG40" s="192"/>
      <c r="AH40" s="982" t="s">
        <v>437</v>
      </c>
      <c r="AI40" s="982"/>
      <c r="AJ40" s="976"/>
      <c r="AK40" s="1129"/>
      <c r="AL40" s="1132"/>
      <c r="AM40" s="995"/>
      <c r="AS40" s="17">
        <v>23</v>
      </c>
    </row>
    <row r="41" spans="1:45" ht="24" customHeight="1">
      <c r="B41" s="126" t="s">
        <v>138</v>
      </c>
      <c r="C41" s="126" t="s">
        <v>139</v>
      </c>
      <c r="D41" s="126" t="s">
        <v>140</v>
      </c>
      <c r="E41" s="306" t="s">
        <v>438</v>
      </c>
      <c r="F41" s="306" t="s">
        <v>439</v>
      </c>
      <c r="G41" s="306" t="s">
        <v>440</v>
      </c>
      <c r="H41" s="306" t="s">
        <v>441</v>
      </c>
      <c r="I41" s="306" t="s">
        <v>442</v>
      </c>
      <c r="J41" s="306" t="s">
        <v>443</v>
      </c>
      <c r="K41" s="306" t="s">
        <v>444</v>
      </c>
      <c r="L41" s="306" t="s">
        <v>419</v>
      </c>
      <c r="Q41" s="333"/>
      <c r="R41" s="333"/>
      <c r="S41" s="1124"/>
      <c r="T41" s="1073"/>
      <c r="U41" s="344"/>
      <c r="V41" s="1140"/>
      <c r="W41" s="1052"/>
      <c r="X41" s="89" t="s">
        <v>445</v>
      </c>
      <c r="Y41" s="89" t="s">
        <v>446</v>
      </c>
      <c r="Z41" s="247" t="s">
        <v>447</v>
      </c>
      <c r="AA41" s="1078" t="s">
        <v>448</v>
      </c>
      <c r="AB41" s="1092"/>
      <c r="AC41" s="1130"/>
      <c r="AD41" s="1140"/>
      <c r="AE41" s="1052"/>
      <c r="AF41" s="89" t="s">
        <v>445</v>
      </c>
      <c r="AG41" s="89" t="s">
        <v>446</v>
      </c>
      <c r="AH41" s="247" t="s">
        <v>447</v>
      </c>
      <c r="AI41" s="1078" t="s">
        <v>448</v>
      </c>
      <c r="AJ41" s="1092"/>
      <c r="AK41" s="1130"/>
      <c r="AL41" s="1133"/>
      <c r="AM41" s="995"/>
      <c r="AS41" s="125">
        <v>23</v>
      </c>
    </row>
    <row r="42" spans="1:45" ht="11.25" hidden="1" customHeight="1">
      <c r="Q42" s="347"/>
      <c r="R42" s="348">
        <v>1</v>
      </c>
      <c r="S42" s="349" t="s">
        <v>110</v>
      </c>
      <c r="T42" s="350" t="s">
        <v>111</v>
      </c>
      <c r="U42" s="351" t="str">
        <f ca="1">OFFSET(U42,0,-1)</f>
        <v>2</v>
      </c>
      <c r="V42" s="352">
        <f ca="1">OFFSET(V42,0,-1)+1</f>
        <v>3</v>
      </c>
      <c r="W42" s="352"/>
      <c r="X42" s="254">
        <f ca="1">OFFSET(X42,0,-1)+1</f>
        <v>1</v>
      </c>
      <c r="Y42" s="254">
        <f ca="1">OFFSET(Y42,0,-1)+1</f>
        <v>2</v>
      </c>
      <c r="Z42" s="352">
        <f ca="1">OFFSET(Z42,0,-1)+1</f>
        <v>3</v>
      </c>
      <c r="AA42" s="1122">
        <f ca="1">OFFSET(AA42,0,-1)+1</f>
        <v>4</v>
      </c>
      <c r="AB42" s="1122"/>
      <c r="AC42" s="352">
        <f ca="1">OFFSET(AC42,0,-2)+1</f>
        <v>5</v>
      </c>
      <c r="AD42" s="352">
        <f ca="1">OFFSET(AD42,0,-1)+1</f>
        <v>6</v>
      </c>
      <c r="AE42" s="352"/>
      <c r="AF42" s="254">
        <f ca="1">OFFSET(AF42,0,-1)+1</f>
        <v>1</v>
      </c>
      <c r="AG42" s="254">
        <f ca="1">OFFSET(AG42,0,-1)+1</f>
        <v>2</v>
      </c>
      <c r="AH42" s="352">
        <f ca="1">OFFSET(AH42,0,-1)+1</f>
        <v>3</v>
      </c>
      <c r="AI42" s="1122">
        <f ca="1">OFFSET(AI42,0,-1)+1</f>
        <v>4</v>
      </c>
      <c r="AJ42" s="1122"/>
      <c r="AK42" s="352">
        <f ca="1">OFFSET(AK42,0,-2)+1</f>
        <v>5</v>
      </c>
      <c r="AL42" s="351">
        <f ca="1">OFFSET(AL42,0,-1)</f>
        <v>5</v>
      </c>
      <c r="AM42" s="352">
        <f ca="1">OFFSET(AM42,0,-1)+1</f>
        <v>6</v>
      </c>
      <c r="AS42" s="258">
        <v>0</v>
      </c>
    </row>
    <row r="43" spans="1:45" ht="21.95" customHeight="1">
      <c r="A43" s="353" t="s">
        <v>195</v>
      </c>
      <c r="E43" s="1111">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21</v>
      </c>
    </row>
    <row r="44" spans="1:45" ht="21.95" customHeight="1">
      <c r="A44" s="353" t="s">
        <v>195</v>
      </c>
      <c r="B44" s="353" t="s">
        <v>196</v>
      </c>
      <c r="E44" s="1112"/>
      <c r="F44" s="1111">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21</v>
      </c>
    </row>
    <row r="45" spans="1:45" ht="24" customHeight="1">
      <c r="A45" s="353" t="s">
        <v>195</v>
      </c>
      <c r="B45" s="353" t="s">
        <v>196</v>
      </c>
      <c r="C45" s="353" t="s">
        <v>197</v>
      </c>
      <c r="E45" s="1112"/>
      <c r="F45" s="1112"/>
      <c r="G45" s="1111">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1.95" customHeight="1">
      <c r="A46" s="353" t="s">
        <v>195</v>
      </c>
      <c r="B46" s="353" t="s">
        <v>196</v>
      </c>
      <c r="C46" s="353" t="s">
        <v>197</v>
      </c>
      <c r="D46" s="353" t="s">
        <v>198</v>
      </c>
      <c r="E46" s="1112"/>
      <c r="F46" s="1112"/>
      <c r="G46" s="1112"/>
      <c r="H46" s="1111">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21</v>
      </c>
    </row>
    <row r="47" spans="1:45" ht="49.5" customHeight="1">
      <c r="A47" s="353" t="s">
        <v>195</v>
      </c>
      <c r="B47" s="353" t="s">
        <v>196</v>
      </c>
      <c r="C47" s="353" t="s">
        <v>197</v>
      </c>
      <c r="D47" s="353" t="s">
        <v>198</v>
      </c>
      <c r="E47" s="1112"/>
      <c r="F47" s="1112"/>
      <c r="G47" s="1112"/>
      <c r="H47" s="1112"/>
      <c r="I47" s="1113" t="str">
        <f>S46&amp;".1"</f>
        <v>....1</v>
      </c>
      <c r="L47" s="306" t="s">
        <v>404</v>
      </c>
      <c r="P47" s="1115">
        <v>1</v>
      </c>
      <c r="R47" s="307"/>
      <c r="S47" s="295" t="str">
        <f>$I47</f>
        <v>....1</v>
      </c>
      <c r="T47" s="308" t="s">
        <v>405</v>
      </c>
      <c r="U47" s="297"/>
      <c r="V47" s="1100"/>
      <c r="W47" s="1101"/>
      <c r="X47" s="1101"/>
      <c r="Y47" s="1101"/>
      <c r="Z47" s="1101"/>
      <c r="AA47" s="1101"/>
      <c r="AB47" s="1101"/>
      <c r="AC47" s="1102"/>
      <c r="AD47" s="1100"/>
      <c r="AE47" s="1101"/>
      <c r="AF47" s="1101"/>
      <c r="AG47" s="1101"/>
      <c r="AH47" s="1101"/>
      <c r="AI47" s="1101"/>
      <c r="AJ47" s="1101"/>
      <c r="AK47" s="1101"/>
      <c r="AL47" s="1102"/>
      <c r="AM47" s="299" t="s">
        <v>406</v>
      </c>
      <c r="AP47" s="87" t="str">
        <f t="shared" si="1"/>
        <v>Схема подключения теплопотребляющей установки к коллектору источника тепловой энергии</v>
      </c>
      <c r="AS47" s="17">
        <v>47</v>
      </c>
    </row>
    <row r="48" spans="1:45" ht="21.95" customHeight="1">
      <c r="A48" s="353" t="s">
        <v>195</v>
      </c>
      <c r="B48" s="353" t="s">
        <v>196</v>
      </c>
      <c r="C48" s="353" t="s">
        <v>197</v>
      </c>
      <c r="D48" s="353" t="s">
        <v>198</v>
      </c>
      <c r="E48" s="1112"/>
      <c r="F48" s="1112"/>
      <c r="G48" s="1112"/>
      <c r="H48" s="1112"/>
      <c r="I48" s="1114"/>
      <c r="J48" s="1113" t="str">
        <f>I47&amp;".1"</f>
        <v>....1.1</v>
      </c>
      <c r="L48" s="306" t="s">
        <v>407</v>
      </c>
      <c r="P48" s="964"/>
      <c r="Q48" s="1115">
        <v>1</v>
      </c>
      <c r="R48" s="309"/>
      <c r="S48" s="295" t="str">
        <f>$J48</f>
        <v>....1.1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21</v>
      </c>
    </row>
    <row r="49" spans="1:45" ht="21.95" customHeight="1">
      <c r="A49" s="353" t="s">
        <v>195</v>
      </c>
      <c r="B49" s="353" t="s">
        <v>196</v>
      </c>
      <c r="C49" s="353" t="s">
        <v>197</v>
      </c>
      <c r="D49" s="353" t="s">
        <v>198</v>
      </c>
      <c r="E49" s="1112"/>
      <c r="F49" s="1112"/>
      <c r="G49" s="1112"/>
      <c r="H49" s="1112"/>
      <c r="I49" s="1114"/>
      <c r="J49" s="1114"/>
      <c r="K49" s="1113" t="str">
        <f>J48&amp;".1"</f>
        <v>....1.1.1</v>
      </c>
      <c r="L49" s="306" t="s">
        <v>410</v>
      </c>
      <c r="P49" s="964"/>
      <c r="Q49" s="964"/>
      <c r="R49" s="309">
        <v>1</v>
      </c>
      <c r="S49" s="295" t="str">
        <f>$K49</f>
        <v>....1.1.1</v>
      </c>
      <c r="T49" s="311"/>
      <c r="U49" s="297"/>
      <c r="V49" s="313"/>
      <c r="W49" s="312"/>
      <c r="X49" s="313"/>
      <c r="Y49" s="361"/>
      <c r="Z49" s="1116"/>
      <c r="AA49" s="1004" t="s">
        <v>66</v>
      </c>
      <c r="AB49" s="1116"/>
      <c r="AC49" s="1004" t="s">
        <v>66</v>
      </c>
      <c r="AD49" s="313"/>
      <c r="AE49" s="312"/>
      <c r="AF49" s="313"/>
      <c r="AG49" s="361"/>
      <c r="AH49" s="1116"/>
      <c r="AI49" s="1004" t="s">
        <v>66</v>
      </c>
      <c r="AJ49" s="1118"/>
      <c r="AK49" s="1004" t="s">
        <v>66</v>
      </c>
      <c r="AL49" s="354"/>
      <c r="AM49" s="1134" t="s">
        <v>411</v>
      </c>
      <c r="AN49" s="75" t="e">
        <f ca="1">STRCHECKDATE(V50:AL50)</f>
        <v>#NAME?</v>
      </c>
      <c r="AP49" s="87" t="str">
        <f t="shared" si="1"/>
        <v/>
      </c>
      <c r="AS49" s="17">
        <v>21</v>
      </c>
    </row>
    <row r="50" spans="1:45" ht="1.1499999999999999" customHeight="1">
      <c r="A50" s="353" t="s">
        <v>195</v>
      </c>
      <c r="B50" s="353" t="s">
        <v>196</v>
      </c>
      <c r="C50" s="353" t="s">
        <v>197</v>
      </c>
      <c r="D50" s="353" t="s">
        <v>198</v>
      </c>
      <c r="E50" s="1112"/>
      <c r="F50" s="1112"/>
      <c r="G50" s="1112"/>
      <c r="H50" s="1112"/>
      <c r="I50" s="1114"/>
      <c r="J50" s="1114"/>
      <c r="K50" s="1113"/>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1</v>
      </c>
    </row>
    <row r="51" spans="1:45" ht="11.45" customHeight="1">
      <c r="A51" s="353" t="s">
        <v>195</v>
      </c>
      <c r="B51" s="353" t="s">
        <v>196</v>
      </c>
      <c r="C51" s="353" t="s">
        <v>197</v>
      </c>
      <c r="D51" s="353" t="s">
        <v>198</v>
      </c>
      <c r="E51" s="1112"/>
      <c r="F51" s="1112"/>
      <c r="G51" s="1112"/>
      <c r="H51" s="1112"/>
      <c r="I51" s="1114"/>
      <c r="J51" s="1113"/>
      <c r="P51" s="964"/>
      <c r="Q51" s="964"/>
      <c r="R51" s="307"/>
      <c r="S51" s="318"/>
      <c r="T51" s="319"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353" t="s">
        <v>195</v>
      </c>
      <c r="B52" s="353" t="s">
        <v>196</v>
      </c>
      <c r="C52" s="353" t="s">
        <v>197</v>
      </c>
      <c r="D52" s="353" t="s">
        <v>198</v>
      </c>
      <c r="E52" s="1112"/>
      <c r="F52" s="1112"/>
      <c r="G52" s="1112"/>
      <c r="H52" s="1112"/>
      <c r="I52" s="1113"/>
      <c r="P52" s="964"/>
      <c r="R52" s="307"/>
      <c r="S52" s="318"/>
      <c r="T52" s="321"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14.65" customHeight="1">
      <c r="A53" s="353" t="s">
        <v>195</v>
      </c>
      <c r="B53" s="353" t="s">
        <v>196</v>
      </c>
      <c r="C53" s="353" t="s">
        <v>197</v>
      </c>
      <c r="D53" s="353" t="s">
        <v>198</v>
      </c>
      <c r="E53" s="1112"/>
      <c r="F53" s="1112"/>
      <c r="G53" s="1112"/>
      <c r="H53" s="1111"/>
      <c r="R53" s="294"/>
      <c r="S53" s="318"/>
      <c r="T53" s="324" t="s">
        <v>414</v>
      </c>
      <c r="U53" s="117"/>
      <c r="V53" s="117"/>
      <c r="W53" s="117"/>
      <c r="X53" s="117"/>
      <c r="Y53" s="117"/>
      <c r="Z53" s="117"/>
      <c r="AA53" s="117"/>
      <c r="AB53" s="117"/>
      <c r="AC53" s="322"/>
      <c r="AD53" s="117"/>
      <c r="AE53" s="117"/>
      <c r="AF53" s="117"/>
      <c r="AG53" s="117"/>
      <c r="AH53" s="117"/>
      <c r="AI53" s="117"/>
      <c r="AJ53" s="117"/>
      <c r="AK53" s="322"/>
      <c r="AL53" s="117"/>
      <c r="AM53" s="323"/>
      <c r="AP53" s="87" t="str">
        <f t="shared" si="1"/>
        <v>Добавить схему подключения</v>
      </c>
      <c r="AS53" s="17">
        <v>14</v>
      </c>
    </row>
    <row r="54" spans="1:45" ht="1.1499999999999999" customHeight="1">
      <c r="A54" s="72" t="s">
        <v>195</v>
      </c>
      <c r="B54" s="72" t="s">
        <v>196</v>
      </c>
      <c r="C54" s="72" t="s">
        <v>197</v>
      </c>
      <c r="E54" s="1112"/>
      <c r="F54" s="1112"/>
      <c r="G54" s="1111"/>
      <c r="T54" s="329" t="s">
        <v>415</v>
      </c>
      <c r="AP54" s="87" t="str">
        <f t="shared" si="1"/>
        <v>Добавить источник для дифференциации</v>
      </c>
      <c r="AS54" s="75">
        <v>1</v>
      </c>
    </row>
    <row r="55" spans="1:45" ht="1.1499999999999999" customHeight="1">
      <c r="A55" s="72" t="s">
        <v>195</v>
      </c>
      <c r="B55" s="72" t="s">
        <v>196</v>
      </c>
      <c r="E55" s="1112"/>
      <c r="F55" s="1111"/>
      <c r="T55" s="329" t="s">
        <v>416</v>
      </c>
      <c r="AP55" s="87" t="str">
        <f t="shared" si="1"/>
        <v>Добавить централизованную систему для дифференциации</v>
      </c>
      <c r="AS55" s="75">
        <v>1</v>
      </c>
    </row>
    <row r="56" spans="1:45" ht="1.1499999999999999" customHeight="1">
      <c r="A56" s="72" t="s">
        <v>195</v>
      </c>
      <c r="E56" s="1111"/>
      <c r="T56" s="329" t="s">
        <v>417</v>
      </c>
      <c r="AP56" s="87" t="str">
        <f t="shared" si="1"/>
        <v>Добавить территорию для дифференциации</v>
      </c>
      <c r="AS56" s="75">
        <v>1</v>
      </c>
    </row>
    <row r="57" spans="1:45" ht="1.1499999999999999" customHeight="1">
      <c r="T57" s="329" t="s">
        <v>449</v>
      </c>
      <c r="AP57" s="87" t="str">
        <f t="shared" si="1"/>
        <v>Добавить наименование тарифа</v>
      </c>
      <c r="AS57" s="75">
        <v>1</v>
      </c>
    </row>
    <row r="58" spans="1:45" ht="11.45" customHeight="1">
      <c r="AS58" s="17">
        <v>11</v>
      </c>
    </row>
    <row r="59" spans="1:45" ht="28.5"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27</v>
      </c>
    </row>
    <row r="60" spans="1:45" ht="78.75"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75</v>
      </c>
    </row>
    <row r="61" spans="1:45" ht="14.65" customHeight="1">
      <c r="AS61" s="17">
        <v>14</v>
      </c>
    </row>
    <row r="62" spans="1:45" ht="18.75" customHeight="1">
      <c r="T62" s="964"/>
      <c r="U62" s="964"/>
      <c r="V62" s="964"/>
      <c r="W62" s="964"/>
      <c r="X62" s="964"/>
      <c r="Y62" s="964"/>
      <c r="Z62" s="964"/>
      <c r="AA62" s="964"/>
      <c r="AB62" s="964"/>
      <c r="AC62" s="964"/>
      <c r="AD62" s="964"/>
      <c r="AE62" s="964"/>
      <c r="AF62" s="964"/>
      <c r="AG62" s="964"/>
      <c r="AH62" s="964"/>
      <c r="AI62" s="964"/>
      <c r="AJ62" s="964"/>
      <c r="AK62" s="964"/>
      <c r="AL62" s="964"/>
      <c r="AM62" s="964"/>
      <c r="AS62" s="17">
        <v>18</v>
      </c>
    </row>
    <row r="63" spans="1:45" ht="18.75"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18</v>
      </c>
    </row>
    <row r="64" spans="1:45" ht="39.7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38</v>
      </c>
    </row>
    <row r="65" spans="1:45" ht="22.5" hidden="1" customHeight="1">
      <c r="A65" s="37" t="s">
        <v>82</v>
      </c>
      <c r="B65" s="37">
        <v>0</v>
      </c>
      <c r="C65" s="37">
        <v>0</v>
      </c>
      <c r="D65" s="37">
        <v>0</v>
      </c>
      <c r="E65" s="37">
        <v>0</v>
      </c>
      <c r="F65" s="37">
        <v>0</v>
      </c>
      <c r="G65" s="37">
        <v>0</v>
      </c>
      <c r="H65" s="37">
        <v>0</v>
      </c>
      <c r="I65" s="37">
        <v>0</v>
      </c>
      <c r="J65" s="37">
        <v>0</v>
      </c>
      <c r="K65" s="37">
        <v>0</v>
      </c>
      <c r="L65" s="240">
        <v>0</v>
      </c>
      <c r="M65" s="41">
        <v>0</v>
      </c>
      <c r="N65" s="41">
        <v>0</v>
      </c>
      <c r="O65" s="41">
        <v>0</v>
      </c>
      <c r="P65" s="356">
        <v>3</v>
      </c>
      <c r="Q65" s="357">
        <v>3</v>
      </c>
      <c r="R65" s="357">
        <v>3</v>
      </c>
      <c r="S65" s="33">
        <v>12</v>
      </c>
      <c r="T65" s="17">
        <v>31</v>
      </c>
      <c r="U65" s="17">
        <v>0</v>
      </c>
      <c r="V65" s="17">
        <v>0</v>
      </c>
      <c r="W65" s="17">
        <v>0</v>
      </c>
      <c r="X65" s="17">
        <v>0</v>
      </c>
      <c r="Y65" s="17">
        <v>0</v>
      </c>
      <c r="Z65" s="17">
        <v>0</v>
      </c>
      <c r="AA65" s="17">
        <v>0</v>
      </c>
      <c r="AB65" s="17">
        <v>0</v>
      </c>
      <c r="AC65" s="17">
        <v>0</v>
      </c>
      <c r="AD65" s="17">
        <v>0</v>
      </c>
      <c r="AE65" s="17">
        <v>24</v>
      </c>
      <c r="AF65" s="17">
        <v>0</v>
      </c>
      <c r="AG65" s="17">
        <v>0</v>
      </c>
      <c r="AH65" s="17">
        <v>11</v>
      </c>
      <c r="AI65" s="17">
        <v>3</v>
      </c>
      <c r="AJ65" s="17">
        <v>11</v>
      </c>
      <c r="AK65" s="17">
        <v>0</v>
      </c>
      <c r="AL65" s="17">
        <v>4</v>
      </c>
      <c r="AM65" s="17">
        <v>115</v>
      </c>
      <c r="AN65" s="75">
        <v>10</v>
      </c>
      <c r="AO65" s="75">
        <v>10</v>
      </c>
      <c r="AP65" s="75">
        <v>10</v>
      </c>
      <c r="AQ65" s="75">
        <v>10</v>
      </c>
      <c r="AR65" s="75">
        <v>10</v>
      </c>
      <c r="AS65" s="17">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D0BB-78CC-32FC-E43C-F7B3FB8C026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8.42578125" hidden="1" customWidth="1"/>
  </cols>
  <sheetData>
    <row r="1" spans="5:45" ht="22.5" hidden="1" customHeight="1">
      <c r="AS1" s="17" t="s">
        <v>14</v>
      </c>
    </row>
    <row r="2" spans="5:45" ht="21" hidden="1" customHeight="1">
      <c r="E2" s="1111">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12"/>
      <c r="F4" s="1112"/>
      <c r="G4" s="1111">
        <v>1</v>
      </c>
      <c r="Q4" s="300"/>
      <c r="R4" s="301"/>
      <c r="S4" s="295" t="e">
        <f>INDEX(PT_DIFFERENTIATION_NUM_CS,MATCH(C4,PT_DIFFERENTIATION_CS_ID,0))</f>
        <v>#N/A</v>
      </c>
      <c r="T4" s="303" t="s">
        <v>400</v>
      </c>
      <c r="U4" s="297"/>
      <c r="V4" s="1106"/>
      <c r="W4" s="1107"/>
      <c r="X4" s="1107"/>
      <c r="Y4" s="1107"/>
      <c r="Z4" s="1107"/>
      <c r="AA4" s="1107"/>
      <c r="AB4" s="1107"/>
      <c r="AC4" s="1108"/>
      <c r="AD4" s="1106" t="e">
        <f>INDEX(PT_DIFFERENTIATION_CS,MATCH(C4,PT_DIFFERENTIATION_CS_ID,0))</f>
        <v>#N/A</v>
      </c>
      <c r="AE4" s="1107"/>
      <c r="AF4" s="1107"/>
      <c r="AG4" s="1107"/>
      <c r="AH4" s="1107"/>
      <c r="AI4" s="1107"/>
      <c r="AJ4" s="1107"/>
      <c r="AK4" s="1107"/>
      <c r="AL4" s="1108"/>
      <c r="AM4" s="299" t="s">
        <v>401</v>
      </c>
      <c r="AP4" s="87" t="str">
        <f t="shared" si="0"/>
        <v xml:space="preserve">Наименование системы теплоснабжения </v>
      </c>
      <c r="AS4" s="17">
        <v>0</v>
      </c>
    </row>
    <row r="5" spans="5:45" ht="21" hidden="1" customHeight="1">
      <c r="E5" s="1112"/>
      <c r="F5" s="1112"/>
      <c r="G5" s="1112"/>
      <c r="H5" s="1111">
        <v>1</v>
      </c>
      <c r="Q5" s="300"/>
      <c r="R5" s="301"/>
      <c r="S5" s="295" t="e">
        <f>INDEX(PT_DIFFERENTIATION_NUM_IST_TE,MATCH(D5,PT_DIFFERENTIATION_IST_TE_ID,0))</f>
        <v>#N/A</v>
      </c>
      <c r="T5" s="304" t="s">
        <v>402</v>
      </c>
      <c r="U5" s="297"/>
      <c r="V5" s="1106"/>
      <c r="W5" s="1107"/>
      <c r="X5" s="1107"/>
      <c r="Y5" s="1107"/>
      <c r="Z5" s="1107"/>
      <c r="AA5" s="1107"/>
      <c r="AB5" s="1107"/>
      <c r="AC5" s="1108"/>
      <c r="AD5" s="1106" t="e">
        <f>INDEX(PT_DIFFERENTIATION_IST_TE,MATCH(D5,PT_DIFFERENTIATION_IST_TE_ID,0))</f>
        <v>#N/A</v>
      </c>
      <c r="AE5" s="1107"/>
      <c r="AF5" s="1107"/>
      <c r="AG5" s="1107"/>
      <c r="AH5" s="1107"/>
      <c r="AI5" s="1107"/>
      <c r="AJ5" s="1107"/>
      <c r="AK5" s="1107"/>
      <c r="AL5" s="1108"/>
      <c r="AM5" s="299" t="s">
        <v>403</v>
      </c>
      <c r="AP5" s="87" t="str">
        <f t="shared" si="0"/>
        <v xml:space="preserve">Источник тепловой энергии  </v>
      </c>
      <c r="AS5" s="17">
        <v>0</v>
      </c>
    </row>
    <row r="6" spans="5:45" ht="14.25" hidden="1" customHeight="1">
      <c r="E6" s="1112"/>
      <c r="F6" s="1112"/>
      <c r="G6" s="1112"/>
      <c r="H6" s="1112"/>
      <c r="I6" s="1113" t="e">
        <f>S5&amp;".1"</f>
        <v>#N/A</v>
      </c>
      <c r="L6" s="306" t="s">
        <v>404</v>
      </c>
      <c r="P6" s="1115">
        <v>1</v>
      </c>
      <c r="R6" s="307"/>
      <c r="S6" s="193"/>
      <c r="T6" s="363"/>
      <c r="U6" s="364"/>
      <c r="V6" s="1142"/>
      <c r="W6" s="1143"/>
      <c r="X6" s="1143"/>
      <c r="Y6" s="1143"/>
      <c r="Z6" s="1143"/>
      <c r="AA6" s="1143"/>
      <c r="AB6" s="1143"/>
      <c r="AC6" s="1144"/>
      <c r="AD6" s="1142"/>
      <c r="AE6" s="1143"/>
      <c r="AF6" s="1143"/>
      <c r="AG6" s="1143"/>
      <c r="AH6" s="1143"/>
      <c r="AI6" s="1143"/>
      <c r="AJ6" s="1143"/>
      <c r="AK6" s="1143"/>
      <c r="AL6" s="1144"/>
      <c r="AM6" s="366"/>
      <c r="AP6" s="87" t="str">
        <f t="shared" si="0"/>
        <v/>
      </c>
      <c r="AS6" s="17">
        <v>0</v>
      </c>
    </row>
    <row r="7" spans="5:45" ht="21" hidden="1" customHeight="1">
      <c r="E7" s="1112"/>
      <c r="F7" s="1112"/>
      <c r="G7" s="1112"/>
      <c r="H7" s="1112"/>
      <c r="I7" s="1114"/>
      <c r="J7" s="1113" t="e">
        <f>I6&amp;".1"</f>
        <v>#N/A</v>
      </c>
      <c r="L7" s="306" t="s">
        <v>407</v>
      </c>
      <c r="P7" s="964"/>
      <c r="Q7" s="1115">
        <v>1</v>
      </c>
      <c r="R7" s="309"/>
      <c r="S7" s="295" t="e">
        <f>$J7</f>
        <v>#N/A</v>
      </c>
      <c r="T7" s="310" t="s">
        <v>408</v>
      </c>
      <c r="U7" s="297"/>
      <c r="V7" s="1100"/>
      <c r="W7" s="1101"/>
      <c r="X7" s="1101"/>
      <c r="Y7" s="1101"/>
      <c r="Z7" s="1101"/>
      <c r="AA7" s="1101"/>
      <c r="AB7" s="1101"/>
      <c r="AC7" s="1102"/>
      <c r="AD7" s="1100"/>
      <c r="AE7" s="1101"/>
      <c r="AF7" s="1101"/>
      <c r="AG7" s="1101"/>
      <c r="AH7" s="1101"/>
      <c r="AI7" s="1101"/>
      <c r="AJ7" s="1101"/>
      <c r="AK7" s="1101"/>
      <c r="AL7" s="1102"/>
      <c r="AM7" s="299" t="s">
        <v>409</v>
      </c>
      <c r="AP7" s="87" t="str">
        <f t="shared" si="0"/>
        <v>Группа потребителей</v>
      </c>
      <c r="AS7" s="17">
        <v>0</v>
      </c>
    </row>
    <row r="8" spans="5:45" ht="21" hidden="1" customHeight="1">
      <c r="E8" s="1112"/>
      <c r="F8" s="1112"/>
      <c r="G8" s="1112"/>
      <c r="H8" s="1112"/>
      <c r="I8" s="1114"/>
      <c r="J8" s="1114"/>
      <c r="K8" s="1113" t="e">
        <f>J7&amp;".1"</f>
        <v>#N/A</v>
      </c>
      <c r="L8" s="306" t="s">
        <v>410</v>
      </c>
      <c r="P8" s="964"/>
      <c r="Q8" s="964"/>
      <c r="R8" s="309">
        <v>1</v>
      </c>
      <c r="S8" s="295" t="e">
        <f>$K8</f>
        <v>#N/A</v>
      </c>
      <c r="T8" s="311"/>
      <c r="U8" s="297"/>
      <c r="V8" s="312"/>
      <c r="W8" s="313"/>
      <c r="X8" s="312"/>
      <c r="Y8" s="314"/>
      <c r="Z8" s="1116"/>
      <c r="AA8" s="1004" t="s">
        <v>66</v>
      </c>
      <c r="AB8" s="1116"/>
      <c r="AC8" s="1004" t="s">
        <v>66</v>
      </c>
      <c r="AD8" s="312"/>
      <c r="AE8" s="313"/>
      <c r="AF8" s="312"/>
      <c r="AG8" s="314"/>
      <c r="AH8" s="1116"/>
      <c r="AI8" s="1004" t="s">
        <v>66</v>
      </c>
      <c r="AJ8" s="1116"/>
      <c r="AK8" s="1004" t="s">
        <v>66</v>
      </c>
      <c r="AL8" s="313"/>
      <c r="AM8" s="1134" t="s">
        <v>411</v>
      </c>
      <c r="AN8" s="75" t="e">
        <f ca="1">STRCHECKDATE(V9:AL9)</f>
        <v>#NAME?</v>
      </c>
      <c r="AP8" s="87" t="str">
        <f t="shared" si="0"/>
        <v/>
      </c>
      <c r="AS8" s="17">
        <v>0</v>
      </c>
    </row>
    <row r="9" spans="5:45" ht="0.75" hidden="1" customHeight="1">
      <c r="E9" s="1112"/>
      <c r="F9" s="1112"/>
      <c r="G9" s="1112"/>
      <c r="H9" s="1112"/>
      <c r="I9" s="1114"/>
      <c r="J9" s="1114"/>
      <c r="K9" s="1113"/>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5" hidden="1" customHeight="1">
      <c r="E10" s="1112"/>
      <c r="F10" s="1112"/>
      <c r="G10" s="1112"/>
      <c r="H10" s="1112"/>
      <c r="I10" s="1114"/>
      <c r="J10" s="1113"/>
      <c r="P10" s="964"/>
      <c r="Q10" s="964"/>
      <c r="R10" s="307"/>
      <c r="S10" s="318"/>
      <c r="T10" s="321"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5" hidden="1" customHeight="1">
      <c r="E11" s="1112"/>
      <c r="F11" s="1112"/>
      <c r="G11" s="1112"/>
      <c r="H11" s="1112"/>
      <c r="I11" s="1113"/>
      <c r="P11" s="964"/>
      <c r="R11" s="307"/>
      <c r="S11" s="318"/>
      <c r="T11" s="324"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14.25" hidden="1" customHeight="1">
      <c r="E12" s="1112"/>
      <c r="F12" s="1112"/>
      <c r="G12" s="1112"/>
      <c r="H12" s="1111"/>
      <c r="R12" s="294"/>
      <c r="S12" s="367"/>
      <c r="T12" s="368"/>
      <c r="U12" s="369"/>
      <c r="V12" s="369"/>
      <c r="W12" s="369"/>
      <c r="X12" s="369"/>
      <c r="Y12" s="369"/>
      <c r="Z12" s="369"/>
      <c r="AA12" s="369"/>
      <c r="AB12" s="369"/>
      <c r="AC12" s="369"/>
      <c r="AD12" s="369"/>
      <c r="AE12" s="369"/>
      <c r="AF12" s="369"/>
      <c r="AG12" s="369"/>
      <c r="AH12" s="369"/>
      <c r="AI12" s="369"/>
      <c r="AJ12" s="369"/>
      <c r="AK12" s="369"/>
      <c r="AL12" s="369"/>
      <c r="AM12" s="370"/>
      <c r="AP12" s="87" t="str">
        <f t="shared" si="0"/>
        <v/>
      </c>
      <c r="AS12" s="17">
        <v>0</v>
      </c>
    </row>
    <row r="13" spans="5:45" ht="0.75" hidden="1" customHeight="1">
      <c r="E13" s="1112"/>
      <c r="F13" s="1112"/>
      <c r="G13" s="1111"/>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0.75" hidden="1" customHeight="1">
      <c r="E14" s="1112"/>
      <c r="F14" s="1111"/>
      <c r="T14" s="328" t="s">
        <v>416</v>
      </c>
      <c r="AP14" s="87" t="str">
        <f t="shared" si="0"/>
        <v>Добавить централизованную систему для дифференциации</v>
      </c>
      <c r="AS14" s="75">
        <v>0</v>
      </c>
    </row>
    <row r="15" spans="5:45" ht="0.75" hidden="1" customHeight="1">
      <c r="E15" s="1111"/>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22.5" hidden="1" customHeight="1">
      <c r="O20" s="332" t="s">
        <v>418</v>
      </c>
      <c r="Z20" s="332"/>
      <c r="AB20" s="332"/>
      <c r="AH20" s="332"/>
      <c r="AJ20" s="332"/>
      <c r="AS20" s="37">
        <v>0</v>
      </c>
    </row>
    <row r="21" spans="15:45" ht="14.25" hidden="1" customHeight="1">
      <c r="AS21" s="37">
        <v>0</v>
      </c>
    </row>
    <row r="22" spans="15:45" ht="14.25" hidden="1" customHeight="1">
      <c r="O22" s="306"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63" customHeight="1">
      <c r="Q26" s="333"/>
      <c r="R26" s="333"/>
      <c r="S26" s="10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093"/>
      <c r="U26" s="1093"/>
      <c r="V26" s="1093"/>
      <c r="W26" s="1093"/>
      <c r="X26" s="1093"/>
      <c r="Y26" s="1093"/>
      <c r="Z26" s="1093"/>
      <c r="AA26" s="1093"/>
      <c r="AB26" s="1093"/>
      <c r="AC26" s="1093"/>
      <c r="AD26" s="1093"/>
      <c r="AE26" s="1093"/>
      <c r="AF26" s="1093"/>
      <c r="AG26" s="1093"/>
      <c r="AH26" s="1093"/>
      <c r="AI26" s="1093"/>
      <c r="AJ26" s="1093"/>
      <c r="AS26" s="17">
        <v>60</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18.7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26"/>
      <c r="Y39" s="1126"/>
      <c r="Z39" s="1126"/>
      <c r="AA39" s="1126"/>
      <c r="AB39" s="1127"/>
      <c r="AC39" s="1128" t="s">
        <v>431</v>
      </c>
      <c r="AD39" s="1125" t="s">
        <v>430</v>
      </c>
      <c r="AE39" s="1126"/>
      <c r="AF39" s="1126"/>
      <c r="AG39" s="1126"/>
      <c r="AH39" s="1126"/>
      <c r="AI39" s="1126"/>
      <c r="AJ39" s="1127"/>
      <c r="AK39" s="1128" t="s">
        <v>432</v>
      </c>
      <c r="AL39" s="1131" t="s">
        <v>433</v>
      </c>
      <c r="AM39" s="995"/>
      <c r="AS39" s="17">
        <v>14</v>
      </c>
    </row>
    <row r="40" spans="1:45" ht="35.65" customHeight="1">
      <c r="Q40" s="333"/>
      <c r="R40" s="333"/>
      <c r="S40" s="1124"/>
      <c r="T40" s="1073"/>
      <c r="U40" s="343"/>
      <c r="V40" s="1046" t="s">
        <v>434</v>
      </c>
      <c r="W40" s="1120"/>
      <c r="X40" s="977" t="s">
        <v>436</v>
      </c>
      <c r="Y40" s="976"/>
      <c r="Z40" s="977" t="s">
        <v>437</v>
      </c>
      <c r="AA40" s="982"/>
      <c r="AB40" s="976"/>
      <c r="AC40" s="1129"/>
      <c r="AD40" s="1046" t="s">
        <v>451</v>
      </c>
      <c r="AE40" s="1120"/>
      <c r="AF40" s="977" t="s">
        <v>436</v>
      </c>
      <c r="AG40" s="976"/>
      <c r="AH40" s="977" t="s">
        <v>437</v>
      </c>
      <c r="AI40" s="982"/>
      <c r="AJ40" s="976"/>
      <c r="AK40" s="1129"/>
      <c r="AL40" s="1132"/>
      <c r="AM40" s="995"/>
      <c r="AS40" s="17">
        <v>34</v>
      </c>
    </row>
    <row r="41" spans="1:45" ht="35.65" customHeight="1">
      <c r="B41" s="126" t="s">
        <v>138</v>
      </c>
      <c r="C41" s="126" t="s">
        <v>139</v>
      </c>
      <c r="D41" s="126" t="s">
        <v>140</v>
      </c>
      <c r="E41" s="306" t="s">
        <v>438</v>
      </c>
      <c r="F41" s="306" t="s">
        <v>439</v>
      </c>
      <c r="G41" s="306" t="s">
        <v>440</v>
      </c>
      <c r="H41" s="306" t="s">
        <v>441</v>
      </c>
      <c r="I41" s="306" t="s">
        <v>442</v>
      </c>
      <c r="J41" s="306" t="s">
        <v>443</v>
      </c>
      <c r="K41" s="306" t="s">
        <v>444</v>
      </c>
      <c r="L41" s="306" t="s">
        <v>419</v>
      </c>
      <c r="Q41" s="333"/>
      <c r="R41" s="333"/>
      <c r="S41" s="1124"/>
      <c r="T41" s="1073"/>
      <c r="U41" s="344"/>
      <c r="V41" s="1098"/>
      <c r="W41" s="1121"/>
      <c r="X41" s="134" t="s">
        <v>445</v>
      </c>
      <c r="Y41" s="134" t="s">
        <v>446</v>
      </c>
      <c r="Z41" s="134" t="s">
        <v>447</v>
      </c>
      <c r="AA41" s="1078" t="s">
        <v>448</v>
      </c>
      <c r="AB41" s="1092"/>
      <c r="AC41" s="1130"/>
      <c r="AD41" s="1098"/>
      <c r="AE41" s="1121"/>
      <c r="AF41" s="134" t="s">
        <v>445</v>
      </c>
      <c r="AG41" s="134" t="s">
        <v>446</v>
      </c>
      <c r="AH41" s="134" t="s">
        <v>447</v>
      </c>
      <c r="AI41" s="1078" t="s">
        <v>448</v>
      </c>
      <c r="AJ41" s="1092"/>
      <c r="AK41" s="1130"/>
      <c r="AL41" s="1133"/>
      <c r="AM41" s="995"/>
      <c r="AS41" s="17">
        <v>34</v>
      </c>
    </row>
    <row r="42" spans="1:45" ht="11.25" hidden="1" customHeight="1">
      <c r="Q42" s="347"/>
      <c r="R42" s="348">
        <v>1</v>
      </c>
      <c r="S42" s="349" t="s">
        <v>110</v>
      </c>
      <c r="T42" s="350" t="s">
        <v>111</v>
      </c>
      <c r="U42" s="351" t="str">
        <f ca="1">OFFSET(U42,0,-1)</f>
        <v>2</v>
      </c>
      <c r="V42" s="352">
        <f ca="1">OFFSET(V42,0,-1)+1</f>
        <v>3</v>
      </c>
      <c r="W42" s="352"/>
      <c r="X42" s="352">
        <f ca="1">OFFSET(X42,0,-1)+1</f>
        <v>1</v>
      </c>
      <c r="Y42" s="352">
        <f ca="1">OFFSET(Y42,0,-1)+1</f>
        <v>2</v>
      </c>
      <c r="Z42" s="352">
        <f ca="1">OFFSET(Z42,0,-1)+1</f>
        <v>3</v>
      </c>
      <c r="AA42" s="1122">
        <f ca="1">OFFSET(AA42,0,-1)+1</f>
        <v>4</v>
      </c>
      <c r="AB42" s="1122"/>
      <c r="AC42" s="352">
        <f ca="1">OFFSET(AC42,0,-2)+1</f>
        <v>5</v>
      </c>
      <c r="AD42" s="352">
        <f ca="1">OFFSET(AD42,0,-1)+1</f>
        <v>6</v>
      </c>
      <c r="AE42" s="352"/>
      <c r="AF42" s="352">
        <f ca="1">OFFSET(AF42,0,-1)+1</f>
        <v>1</v>
      </c>
      <c r="AG42" s="352">
        <f ca="1">OFFSET(AG42,0,-1)+1</f>
        <v>2</v>
      </c>
      <c r="AH42" s="352">
        <f ca="1">OFFSET(AH42,0,-1)+1</f>
        <v>3</v>
      </c>
      <c r="AI42" s="1122">
        <f ca="1">OFFSET(AI42,0,-1)+1</f>
        <v>4</v>
      </c>
      <c r="AJ42" s="1122"/>
      <c r="AK42" s="352">
        <f ca="1">OFFSET(AK42,0,-2)+1</f>
        <v>5</v>
      </c>
      <c r="AL42" s="351">
        <f ca="1">OFFSET(AL42,0,-1)</f>
        <v>5</v>
      </c>
      <c r="AM42" s="352">
        <f ca="1">OFFSET(AM42,0,-1)+1</f>
        <v>6</v>
      </c>
      <c r="AS42" s="258">
        <v>0</v>
      </c>
    </row>
    <row r="43" spans="1:45" ht="21.95" customHeight="1">
      <c r="A43" s="353" t="s">
        <v>171</v>
      </c>
      <c r="E43" s="1111">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21</v>
      </c>
    </row>
    <row r="44" spans="1:45" ht="21.95" customHeight="1">
      <c r="A44" s="353" t="s">
        <v>171</v>
      </c>
      <c r="B44" s="353" t="s">
        <v>172</v>
      </c>
      <c r="E44" s="1112"/>
      <c r="F44" s="1111">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21</v>
      </c>
    </row>
    <row r="45" spans="1:45" ht="24" customHeight="1">
      <c r="A45" s="353" t="s">
        <v>171</v>
      </c>
      <c r="B45" s="353" t="s">
        <v>172</v>
      </c>
      <c r="C45" s="353" t="s">
        <v>173</v>
      </c>
      <c r="E45" s="1112"/>
      <c r="F45" s="1112"/>
      <c r="G45" s="1111">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1.95" customHeight="1">
      <c r="A46" s="353" t="s">
        <v>171</v>
      </c>
      <c r="B46" s="353" t="s">
        <v>172</v>
      </c>
      <c r="C46" s="353" t="s">
        <v>173</v>
      </c>
      <c r="D46" s="353" t="s">
        <v>174</v>
      </c>
      <c r="E46" s="1112"/>
      <c r="F46" s="1112"/>
      <c r="G46" s="1112"/>
      <c r="H46" s="1111">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21</v>
      </c>
    </row>
    <row r="47" spans="1:45" ht="0" hidden="1" customHeight="1">
      <c r="A47" s="72" t="s">
        <v>171</v>
      </c>
      <c r="B47" s="72" t="s">
        <v>172</v>
      </c>
      <c r="C47" s="72" t="s">
        <v>173</v>
      </c>
      <c r="D47" s="72" t="s">
        <v>174</v>
      </c>
      <c r="E47" s="1112"/>
      <c r="F47" s="1112"/>
      <c r="G47" s="1112"/>
      <c r="H47" s="1112"/>
      <c r="I47" s="1113" t="str">
        <f>S46&amp;".1"</f>
        <v>....1</v>
      </c>
      <c r="L47" s="371" t="s">
        <v>404</v>
      </c>
      <c r="P47" s="1115">
        <v>1</v>
      </c>
      <c r="R47" s="307"/>
      <c r="S47" s="193"/>
      <c r="T47" s="363"/>
      <c r="U47" s="364"/>
      <c r="V47" s="1142"/>
      <c r="W47" s="1143"/>
      <c r="X47" s="1143"/>
      <c r="Y47" s="1143"/>
      <c r="Z47" s="1143"/>
      <c r="AA47" s="1143"/>
      <c r="AB47" s="1143"/>
      <c r="AC47" s="1144"/>
      <c r="AD47" s="1142"/>
      <c r="AE47" s="1143"/>
      <c r="AF47" s="1143"/>
      <c r="AG47" s="1143"/>
      <c r="AH47" s="1143"/>
      <c r="AI47" s="1143"/>
      <c r="AJ47" s="1143"/>
      <c r="AK47" s="1143"/>
      <c r="AL47" s="1144"/>
      <c r="AM47" s="366"/>
      <c r="AP47" s="87" t="str">
        <f t="shared" si="1"/>
        <v/>
      </c>
      <c r="AS47" s="75">
        <v>0</v>
      </c>
    </row>
    <row r="48" spans="1:45" ht="21.95" customHeight="1">
      <c r="A48" s="353" t="s">
        <v>171</v>
      </c>
      <c r="B48" s="353" t="s">
        <v>172</v>
      </c>
      <c r="C48" s="353" t="s">
        <v>173</v>
      </c>
      <c r="D48" s="353" t="s">
        <v>174</v>
      </c>
      <c r="E48" s="1112"/>
      <c r="F48" s="1112"/>
      <c r="G48" s="1112"/>
      <c r="H48" s="1112"/>
      <c r="I48" s="1114"/>
      <c r="J48" s="1113" t="str">
        <f>S46&amp;".1"</f>
        <v>....1</v>
      </c>
      <c r="L48" s="306" t="s">
        <v>407</v>
      </c>
      <c r="P48" s="964"/>
      <c r="Q48" s="1115">
        <v>1</v>
      </c>
      <c r="R48" s="309"/>
      <c r="S48" s="295" t="str">
        <f>$J48</f>
        <v>....1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21</v>
      </c>
    </row>
    <row r="49" spans="1:45" ht="21.95" customHeight="1">
      <c r="A49" s="353" t="s">
        <v>171</v>
      </c>
      <c r="B49" s="353" t="s">
        <v>172</v>
      </c>
      <c r="C49" s="353" t="s">
        <v>173</v>
      </c>
      <c r="D49" s="353" t="s">
        <v>174</v>
      </c>
      <c r="E49" s="1112"/>
      <c r="F49" s="1112"/>
      <c r="G49" s="1112"/>
      <c r="H49" s="1112"/>
      <c r="I49" s="1114"/>
      <c r="J49" s="1114"/>
      <c r="K49" s="1113" t="str">
        <f>J48&amp;".1"</f>
        <v>....1.1</v>
      </c>
      <c r="L49" s="306" t="s">
        <v>410</v>
      </c>
      <c r="P49" s="964"/>
      <c r="Q49" s="964"/>
      <c r="R49" s="309">
        <v>1</v>
      </c>
      <c r="S49" s="295" t="str">
        <f>$K49</f>
        <v>....1.1</v>
      </c>
      <c r="T49" s="311"/>
      <c r="U49" s="297"/>
      <c r="V49" s="312"/>
      <c r="W49" s="313"/>
      <c r="X49" s="312"/>
      <c r="Y49" s="314"/>
      <c r="Z49" s="1116"/>
      <c r="AA49" s="1004" t="s">
        <v>66</v>
      </c>
      <c r="AB49" s="1116"/>
      <c r="AC49" s="1004" t="s">
        <v>66</v>
      </c>
      <c r="AD49" s="312"/>
      <c r="AE49" s="313"/>
      <c r="AF49" s="312"/>
      <c r="AG49" s="314"/>
      <c r="AH49" s="1116"/>
      <c r="AI49" s="1004" t="s">
        <v>66</v>
      </c>
      <c r="AJ49" s="1118"/>
      <c r="AK49" s="1004" t="s">
        <v>66</v>
      </c>
      <c r="AL49" s="354"/>
      <c r="AM49" s="1134" t="s">
        <v>452</v>
      </c>
      <c r="AN49" s="75" t="e">
        <f ca="1">STRCHECKDATE(V50:AL50)</f>
        <v>#NAME?</v>
      </c>
      <c r="AP49" s="87" t="str">
        <f t="shared" si="1"/>
        <v/>
      </c>
      <c r="AS49" s="17">
        <v>21</v>
      </c>
    </row>
    <row r="50" spans="1:45" ht="1.1499999999999999" customHeight="1">
      <c r="A50" s="353" t="s">
        <v>171</v>
      </c>
      <c r="B50" s="353" t="s">
        <v>172</v>
      </c>
      <c r="C50" s="353" t="s">
        <v>173</v>
      </c>
      <c r="D50" s="353" t="s">
        <v>174</v>
      </c>
      <c r="E50" s="1112"/>
      <c r="F50" s="1112"/>
      <c r="G50" s="1112"/>
      <c r="H50" s="1112"/>
      <c r="I50" s="1114"/>
      <c r="J50" s="1114"/>
      <c r="K50" s="1113"/>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1</v>
      </c>
    </row>
    <row r="51" spans="1:45" ht="11.45" customHeight="1">
      <c r="A51" s="353" t="s">
        <v>171</v>
      </c>
      <c r="B51" s="353" t="s">
        <v>172</v>
      </c>
      <c r="C51" s="353" t="s">
        <v>173</v>
      </c>
      <c r="D51" s="353" t="s">
        <v>174</v>
      </c>
      <c r="E51" s="1112"/>
      <c r="F51" s="1112"/>
      <c r="G51" s="1112"/>
      <c r="H51" s="1112"/>
      <c r="I51" s="1114"/>
      <c r="J51" s="1113"/>
      <c r="P51" s="964"/>
      <c r="Q51" s="964"/>
      <c r="R51" s="307"/>
      <c r="S51" s="318"/>
      <c r="T51" s="321"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353" t="s">
        <v>171</v>
      </c>
      <c r="B52" s="353" t="s">
        <v>172</v>
      </c>
      <c r="C52" s="353" t="s">
        <v>173</v>
      </c>
      <c r="D52" s="353" t="s">
        <v>174</v>
      </c>
      <c r="E52" s="1112"/>
      <c r="F52" s="1112"/>
      <c r="G52" s="1112"/>
      <c r="H52" s="1112"/>
      <c r="I52" s="1113"/>
      <c r="P52" s="964"/>
      <c r="R52" s="307"/>
      <c r="S52" s="318"/>
      <c r="T52" s="324"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0" hidden="1" customHeight="1">
      <c r="A53" s="353" t="s">
        <v>171</v>
      </c>
      <c r="B53" s="353" t="s">
        <v>172</v>
      </c>
      <c r="C53" s="353" t="s">
        <v>173</v>
      </c>
      <c r="D53" s="353" t="s">
        <v>174</v>
      </c>
      <c r="E53" s="1112"/>
      <c r="F53" s="1112"/>
      <c r="G53" s="1112"/>
      <c r="H53" s="1111"/>
      <c r="R53" s="294"/>
      <c r="S53" s="367"/>
      <c r="T53" s="368"/>
      <c r="U53" s="369"/>
      <c r="V53" s="369"/>
      <c r="W53" s="369"/>
      <c r="X53" s="369"/>
      <c r="Y53" s="369"/>
      <c r="Z53" s="369"/>
      <c r="AA53" s="369"/>
      <c r="AB53" s="369"/>
      <c r="AC53" s="369"/>
      <c r="AD53" s="369"/>
      <c r="AE53" s="369"/>
      <c r="AF53" s="369"/>
      <c r="AG53" s="369"/>
      <c r="AH53" s="369"/>
      <c r="AI53" s="369"/>
      <c r="AJ53" s="369"/>
      <c r="AK53" s="369"/>
      <c r="AL53" s="369"/>
      <c r="AM53" s="370"/>
      <c r="AP53" s="87" t="str">
        <f t="shared" si="1"/>
        <v/>
      </c>
      <c r="AS53" s="17">
        <v>0</v>
      </c>
    </row>
    <row r="54" spans="1:45" ht="1.1499999999999999" customHeight="1">
      <c r="A54" s="72" t="s">
        <v>171</v>
      </c>
      <c r="B54" s="72" t="s">
        <v>172</v>
      </c>
      <c r="C54" s="72" t="s">
        <v>173</v>
      </c>
      <c r="E54" s="1112"/>
      <c r="F54" s="1112"/>
      <c r="G54" s="1111"/>
      <c r="T54" s="329" t="s">
        <v>415</v>
      </c>
      <c r="AP54" s="87" t="str">
        <f t="shared" si="1"/>
        <v>Добавить источник для дифференциации</v>
      </c>
      <c r="AS54" s="75">
        <v>1</v>
      </c>
    </row>
    <row r="55" spans="1:45" ht="1.1499999999999999" customHeight="1">
      <c r="A55" s="72" t="s">
        <v>171</v>
      </c>
      <c r="B55" s="72" t="s">
        <v>172</v>
      </c>
      <c r="E55" s="1112"/>
      <c r="F55" s="1111"/>
      <c r="T55" s="329" t="s">
        <v>416</v>
      </c>
      <c r="AP55" s="87" t="str">
        <f t="shared" si="1"/>
        <v>Добавить централизованную систему для дифференциации</v>
      </c>
      <c r="AS55" s="75">
        <v>1</v>
      </c>
    </row>
    <row r="56" spans="1:45" ht="1.1499999999999999" customHeight="1">
      <c r="A56" s="72" t="s">
        <v>171</v>
      </c>
      <c r="E56" s="1111"/>
      <c r="T56" s="329" t="s">
        <v>417</v>
      </c>
      <c r="AP56" s="87" t="str">
        <f t="shared" si="1"/>
        <v>Добавить территорию для дифференциации</v>
      </c>
      <c r="AS56" s="75">
        <v>1</v>
      </c>
    </row>
    <row r="57" spans="1:45" ht="1.1499999999999999" customHeight="1">
      <c r="T57" s="329" t="s">
        <v>449</v>
      </c>
      <c r="AP57" s="87" t="str">
        <f t="shared" si="1"/>
        <v>Добавить наименование тарифа</v>
      </c>
      <c r="AS57" s="75">
        <v>1</v>
      </c>
    </row>
    <row r="58" spans="1:45" ht="11.45" customHeight="1">
      <c r="AS58" s="17">
        <v>11</v>
      </c>
    </row>
    <row r="59" spans="1:45" ht="19.899999999999999"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19</v>
      </c>
    </row>
    <row r="60" spans="1:45" ht="29.25"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28</v>
      </c>
    </row>
    <row r="61" spans="1:45" ht="42" customHeight="1">
      <c r="T61" s="964"/>
      <c r="U61" s="964"/>
      <c r="V61" s="964"/>
      <c r="W61" s="964"/>
      <c r="X61" s="964"/>
      <c r="Y61" s="964"/>
      <c r="Z61" s="964"/>
      <c r="AA61" s="964"/>
      <c r="AB61" s="964"/>
      <c r="AC61" s="964"/>
      <c r="AD61" s="964"/>
      <c r="AE61" s="964"/>
      <c r="AF61" s="964"/>
      <c r="AG61" s="964"/>
      <c r="AH61" s="964"/>
      <c r="AI61" s="964"/>
      <c r="AJ61" s="964"/>
      <c r="AK61" s="964"/>
      <c r="AL61" s="964"/>
      <c r="AM61" s="964"/>
      <c r="AS61" s="17">
        <v>40</v>
      </c>
    </row>
    <row r="62" spans="1:45" ht="14.65" customHeight="1">
      <c r="AS62" s="17">
        <v>14</v>
      </c>
    </row>
    <row r="63" spans="1:45" ht="21"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20</v>
      </c>
    </row>
    <row r="64" spans="1:45" ht="29.2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28</v>
      </c>
    </row>
    <row r="65" spans="1:45" ht="35.65" customHeight="1">
      <c r="T65" s="964"/>
      <c r="U65" s="964"/>
      <c r="V65" s="964"/>
      <c r="W65" s="964"/>
      <c r="X65" s="964"/>
      <c r="Y65" s="964"/>
      <c r="Z65" s="964"/>
      <c r="AA65" s="964"/>
      <c r="AB65" s="964"/>
      <c r="AC65" s="964"/>
      <c r="AD65" s="964"/>
      <c r="AE65" s="964"/>
      <c r="AF65" s="964"/>
      <c r="AG65" s="964"/>
      <c r="AH65" s="964"/>
      <c r="AI65" s="964"/>
      <c r="AJ65" s="964"/>
      <c r="AK65" s="964"/>
      <c r="AL65" s="964"/>
      <c r="AM65" s="964"/>
      <c r="AS65" s="17">
        <v>34</v>
      </c>
    </row>
    <row r="66" spans="1:45" ht="22.5" hidden="1" customHeight="1">
      <c r="A66" s="37" t="s">
        <v>82</v>
      </c>
      <c r="B66" s="37">
        <v>0</v>
      </c>
      <c r="C66" s="37">
        <v>0</v>
      </c>
      <c r="D66" s="37">
        <v>0</v>
      </c>
      <c r="E66" s="37">
        <v>0</v>
      </c>
      <c r="F66" s="37">
        <v>0</v>
      </c>
      <c r="G66" s="37">
        <v>0</v>
      </c>
      <c r="H66" s="37">
        <v>0</v>
      </c>
      <c r="I66" s="37">
        <v>0</v>
      </c>
      <c r="J66" s="37">
        <v>0</v>
      </c>
      <c r="K66" s="37">
        <v>0</v>
      </c>
      <c r="L66" s="240">
        <v>0</v>
      </c>
      <c r="M66" s="41">
        <v>0</v>
      </c>
      <c r="N66" s="41">
        <v>0</v>
      </c>
      <c r="O66" s="41">
        <v>0</v>
      </c>
      <c r="P66" s="356">
        <v>0</v>
      </c>
      <c r="Q66" s="357">
        <v>3</v>
      </c>
      <c r="R66" s="357">
        <v>3</v>
      </c>
      <c r="S66" s="33">
        <v>12</v>
      </c>
      <c r="T66" s="17">
        <v>31</v>
      </c>
      <c r="U66" s="17">
        <v>0</v>
      </c>
      <c r="V66" s="17">
        <v>0</v>
      </c>
      <c r="W66" s="17">
        <v>0</v>
      </c>
      <c r="X66" s="17">
        <v>0</v>
      </c>
      <c r="Y66" s="17">
        <v>0</v>
      </c>
      <c r="Z66" s="17">
        <v>0</v>
      </c>
      <c r="AA66" s="17">
        <v>0</v>
      </c>
      <c r="AB66" s="17">
        <v>0</v>
      </c>
      <c r="AC66" s="17">
        <v>0</v>
      </c>
      <c r="AD66" s="17">
        <v>24</v>
      </c>
      <c r="AE66" s="17">
        <v>0</v>
      </c>
      <c r="AF66" s="17">
        <v>24</v>
      </c>
      <c r="AG66" s="17">
        <v>24</v>
      </c>
      <c r="AH66" s="17">
        <v>11</v>
      </c>
      <c r="AI66" s="17">
        <v>3</v>
      </c>
      <c r="AJ66" s="17">
        <v>11</v>
      </c>
      <c r="AK66" s="17">
        <v>0</v>
      </c>
      <c r="AL66" s="17">
        <v>4</v>
      </c>
      <c r="AM66" s="17">
        <v>115</v>
      </c>
      <c r="AN66" s="75">
        <v>10</v>
      </c>
      <c r="AO66" s="75">
        <v>10</v>
      </c>
      <c r="AP66" s="75">
        <v>10</v>
      </c>
      <c r="AQ66" s="75">
        <v>10</v>
      </c>
      <c r="AR66" s="75">
        <v>10</v>
      </c>
      <c r="AS66" s="17">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B5F2-FE89-72AE-02DF-5311FADCB59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c r="AS1" s="17" t="s">
        <v>14</v>
      </c>
    </row>
    <row r="2" spans="5:45" ht="21" hidden="1" customHeight="1">
      <c r="E2" s="1111">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12"/>
      <c r="F4" s="1112"/>
      <c r="G4" s="1111">
        <v>1</v>
      </c>
      <c r="Q4" s="300"/>
      <c r="R4" s="301"/>
      <c r="S4" s="372" t="e">
        <f>INDEX(PT_DIFFERENTIATION_NUM_CS,MATCH(C4,PT_DIFFERENTIATION_CS_ID,0))</f>
        <v>#N/A</v>
      </c>
      <c r="T4" s="373" t="s">
        <v>400</v>
      </c>
      <c r="U4" s="374"/>
      <c r="V4" s="1147"/>
      <c r="W4" s="1148"/>
      <c r="X4" s="1148"/>
      <c r="Y4" s="1148"/>
      <c r="Z4" s="1148"/>
      <c r="AA4" s="1148"/>
      <c r="AB4" s="1148"/>
      <c r="AC4" s="1149"/>
      <c r="AD4" s="1147" t="e">
        <f>INDEX(PT_DIFFERENTIATION_CS,MATCH(C4,PT_DIFFERENTIATION_CS_ID,0))</f>
        <v>#N/A</v>
      </c>
      <c r="AE4" s="1148"/>
      <c r="AF4" s="1148"/>
      <c r="AG4" s="1148"/>
      <c r="AH4" s="1148"/>
      <c r="AI4" s="1148"/>
      <c r="AJ4" s="1148"/>
      <c r="AK4" s="1148"/>
      <c r="AL4" s="1149"/>
      <c r="AM4" s="299" t="s">
        <v>401</v>
      </c>
      <c r="AP4" s="87" t="str">
        <f t="shared" si="0"/>
        <v xml:space="preserve">Наименование системы теплоснабжения </v>
      </c>
      <c r="AS4" s="17">
        <v>0</v>
      </c>
    </row>
    <row r="5" spans="5:45" ht="21" hidden="1" customHeight="1">
      <c r="E5" s="1112"/>
      <c r="F5" s="1112"/>
      <c r="G5" s="1112"/>
      <c r="H5" s="1111">
        <v>1</v>
      </c>
      <c r="Q5" s="300"/>
      <c r="S5" s="295" t="e">
        <f>INDEX(PT_DIFFERENTIATION_NUM_IST_TE,MATCH(D5,PT_DIFFERENTIATION_IST_TE_ID,0))</f>
        <v>#N/A</v>
      </c>
      <c r="T5" s="304" t="s">
        <v>402</v>
      </c>
      <c r="U5" s="297"/>
      <c r="V5" s="1150"/>
      <c r="W5" s="1150"/>
      <c r="X5" s="1150"/>
      <c r="Y5" s="1150"/>
      <c r="Z5" s="1150"/>
      <c r="AA5" s="1150"/>
      <c r="AB5" s="1150"/>
      <c r="AC5" s="1150"/>
      <c r="AD5" s="1150" t="e">
        <f>INDEX(PT_DIFFERENTIATION_IST_TE,MATCH(D5,PT_DIFFERENTIATION_IST_TE_ID,0))</f>
        <v>#N/A</v>
      </c>
      <c r="AE5" s="1150"/>
      <c r="AF5" s="1150"/>
      <c r="AG5" s="1150"/>
      <c r="AH5" s="1150"/>
      <c r="AI5" s="1150"/>
      <c r="AJ5" s="1150"/>
      <c r="AK5" s="1150"/>
      <c r="AL5" s="1150"/>
      <c r="AM5" s="376" t="s">
        <v>403</v>
      </c>
      <c r="AP5" s="87" t="str">
        <f t="shared" si="0"/>
        <v xml:space="preserve">Источник тепловой энергии  </v>
      </c>
      <c r="AS5" s="17">
        <v>0</v>
      </c>
    </row>
    <row r="6" spans="5:45" ht="0.75" hidden="1" customHeight="1">
      <c r="E6" s="1112"/>
      <c r="F6" s="1112"/>
      <c r="G6" s="1112"/>
      <c r="H6" s="1112"/>
      <c r="I6" s="1113" t="e">
        <f>S5&amp;".1"</f>
        <v>#N/A</v>
      </c>
      <c r="L6" s="306" t="s">
        <v>404</v>
      </c>
      <c r="P6" s="1115">
        <v>1</v>
      </c>
      <c r="S6" s="193"/>
      <c r="T6" s="363"/>
      <c r="U6" s="364"/>
      <c r="V6" s="1151"/>
      <c r="W6" s="1151"/>
      <c r="X6" s="1151"/>
      <c r="Y6" s="1151"/>
      <c r="Z6" s="1151"/>
      <c r="AA6" s="1151"/>
      <c r="AB6" s="1151"/>
      <c r="AC6" s="1151"/>
      <c r="AD6" s="1151"/>
      <c r="AE6" s="1151"/>
      <c r="AF6" s="1151"/>
      <c r="AG6" s="1151"/>
      <c r="AH6" s="1151"/>
      <c r="AI6" s="1151"/>
      <c r="AJ6" s="1151"/>
      <c r="AK6" s="1151"/>
      <c r="AL6" s="1151"/>
      <c r="AM6" s="377"/>
      <c r="AP6" s="87" t="str">
        <f t="shared" si="0"/>
        <v/>
      </c>
      <c r="AS6" s="17">
        <v>0</v>
      </c>
    </row>
    <row r="7" spans="5:45" ht="84" hidden="1" customHeight="1">
      <c r="E7" s="1112"/>
      <c r="F7" s="1112"/>
      <c r="G7" s="1112"/>
      <c r="H7" s="1112"/>
      <c r="I7" s="1114"/>
      <c r="J7" s="1113" t="e">
        <f>I6&amp;".1"</f>
        <v>#N/A</v>
      </c>
      <c r="L7" s="306" t="s">
        <v>407</v>
      </c>
      <c r="P7" s="964"/>
      <c r="Q7" s="1115">
        <v>1</v>
      </c>
      <c r="S7" s="295" t="e">
        <f>$J7</f>
        <v>#N/A</v>
      </c>
      <c r="T7" s="310" t="s">
        <v>408</v>
      </c>
      <c r="U7" s="297"/>
      <c r="V7" s="1145"/>
      <c r="W7" s="1145"/>
      <c r="X7" s="1145"/>
      <c r="Y7" s="1145"/>
      <c r="Z7" s="1145"/>
      <c r="AA7" s="1145"/>
      <c r="AB7" s="1145"/>
      <c r="AC7" s="1145"/>
      <c r="AD7" s="1145"/>
      <c r="AE7" s="1145"/>
      <c r="AF7" s="1145"/>
      <c r="AG7" s="1145"/>
      <c r="AH7" s="1145"/>
      <c r="AI7" s="1145"/>
      <c r="AJ7" s="1145"/>
      <c r="AK7" s="1145"/>
      <c r="AL7" s="1145"/>
      <c r="AM7" s="376" t="s">
        <v>409</v>
      </c>
      <c r="AP7" s="87" t="str">
        <f t="shared" si="0"/>
        <v>Группа потребителей</v>
      </c>
      <c r="AS7" s="17">
        <v>0</v>
      </c>
    </row>
    <row r="8" spans="5:45" ht="11.25" hidden="1" customHeight="1">
      <c r="E8" s="1112"/>
      <c r="F8" s="1112"/>
      <c r="G8" s="1112"/>
      <c r="H8" s="1112"/>
      <c r="I8" s="1114"/>
      <c r="J8" s="1114"/>
      <c r="K8" s="1113" t="e">
        <f>J7&amp;".1"</f>
        <v>#N/A</v>
      </c>
      <c r="L8" s="306" t="s">
        <v>410</v>
      </c>
      <c r="P8" s="964"/>
      <c r="Q8" s="964"/>
      <c r="R8" s="309">
        <v>1</v>
      </c>
      <c r="S8" s="379" t="e">
        <f>$K8</f>
        <v>#N/A</v>
      </c>
      <c r="T8" s="380"/>
      <c r="U8" s="381"/>
      <c r="V8" s="382"/>
      <c r="W8" s="355"/>
      <c r="X8" s="382"/>
      <c r="Y8" s="383"/>
      <c r="Z8" s="1146"/>
      <c r="AA8" s="1009" t="s">
        <v>66</v>
      </c>
      <c r="AB8" s="1146"/>
      <c r="AC8" s="1009" t="s">
        <v>66</v>
      </c>
      <c r="AD8" s="382"/>
      <c r="AE8" s="355"/>
      <c r="AF8" s="382"/>
      <c r="AG8" s="383"/>
      <c r="AH8" s="1146"/>
      <c r="AI8" s="1009" t="s">
        <v>66</v>
      </c>
      <c r="AJ8" s="1146"/>
      <c r="AK8" s="1009" t="s">
        <v>66</v>
      </c>
      <c r="AL8" s="355"/>
      <c r="AM8" s="1134" t="s">
        <v>411</v>
      </c>
      <c r="AN8" s="75" t="e">
        <f ca="1">STRCHECKDATE(V9:AL9)</f>
        <v>#NAME?</v>
      </c>
      <c r="AP8" s="87" t="str">
        <f t="shared" si="0"/>
        <v/>
      </c>
      <c r="AS8" s="17">
        <v>0</v>
      </c>
    </row>
    <row r="9" spans="5:45" ht="0.75" hidden="1" customHeight="1">
      <c r="E9" s="1112"/>
      <c r="F9" s="1112"/>
      <c r="G9" s="1112"/>
      <c r="H9" s="1112"/>
      <c r="I9" s="1114"/>
      <c r="J9" s="1114"/>
      <c r="K9" s="1113"/>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1.25" hidden="1" customHeight="1">
      <c r="E10" s="1112"/>
      <c r="F10" s="1112"/>
      <c r="G10" s="1112"/>
      <c r="H10" s="1112"/>
      <c r="I10" s="1114"/>
      <c r="J10" s="1113"/>
      <c r="P10" s="964"/>
      <c r="Q10" s="964"/>
      <c r="R10" s="307"/>
      <c r="S10" s="318"/>
      <c r="T10" s="321"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1.25" hidden="1" customHeight="1">
      <c r="E11" s="1112"/>
      <c r="F11" s="1112"/>
      <c r="G11" s="1112"/>
      <c r="H11" s="1112"/>
      <c r="I11" s="1113"/>
      <c r="P11" s="964"/>
      <c r="R11" s="307"/>
      <c r="S11" s="318"/>
      <c r="T11" s="324"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0.75" hidden="1" customHeight="1">
      <c r="E12" s="1112"/>
      <c r="F12" s="1112"/>
      <c r="G12" s="1112"/>
      <c r="H12" s="1111"/>
      <c r="R12" s="294"/>
      <c r="S12" s="367"/>
      <c r="T12" s="368"/>
      <c r="U12" s="369"/>
      <c r="V12" s="369"/>
      <c r="W12" s="369"/>
      <c r="X12" s="369"/>
      <c r="Y12" s="369"/>
      <c r="Z12" s="369"/>
      <c r="AA12" s="369"/>
      <c r="AB12" s="369"/>
      <c r="AC12" s="369"/>
      <c r="AD12" s="369"/>
      <c r="AE12" s="369"/>
      <c r="AF12" s="369"/>
      <c r="AG12" s="369"/>
      <c r="AH12" s="369"/>
      <c r="AI12" s="369"/>
      <c r="AJ12" s="369"/>
      <c r="AK12" s="369"/>
      <c r="AL12" s="369"/>
      <c r="AM12" s="370"/>
      <c r="AP12" s="87" t="str">
        <f t="shared" si="0"/>
        <v/>
      </c>
      <c r="AS12" s="17">
        <v>0</v>
      </c>
    </row>
    <row r="13" spans="5:45" ht="0.75" hidden="1" customHeight="1">
      <c r="E13" s="1112"/>
      <c r="F13" s="1112"/>
      <c r="G13" s="1111"/>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0.75" hidden="1" customHeight="1">
      <c r="E14" s="1112"/>
      <c r="F14" s="1111"/>
      <c r="T14" s="328" t="s">
        <v>416</v>
      </c>
      <c r="AP14" s="87" t="str">
        <f t="shared" si="0"/>
        <v>Добавить централизованную систему для дифференциации</v>
      </c>
      <c r="AS14" s="75">
        <v>0</v>
      </c>
    </row>
    <row r="15" spans="5:45" ht="0.75" hidden="1" customHeight="1">
      <c r="E15" s="1111"/>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22.5" hidden="1" customHeight="1">
      <c r="O20" s="332" t="s">
        <v>418</v>
      </c>
      <c r="Z20" s="332"/>
      <c r="AB20" s="332"/>
      <c r="AH20" s="332"/>
      <c r="AJ20" s="332"/>
      <c r="AS20" s="37">
        <v>0</v>
      </c>
    </row>
    <row r="21" spans="15:45" ht="14.25" hidden="1" customHeight="1">
      <c r="AS21" s="37">
        <v>0</v>
      </c>
    </row>
    <row r="22" spans="15:45" ht="14.25" hidden="1" customHeight="1">
      <c r="O22" s="306"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54.75" customHeight="1">
      <c r="Q26" s="333"/>
      <c r="R26" s="333"/>
      <c r="S26" s="10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045"/>
      <c r="U26" s="1045"/>
      <c r="V26" s="1045"/>
      <c r="W26" s="1045"/>
      <c r="X26" s="1045"/>
      <c r="Y26" s="1045"/>
      <c r="Z26" s="1045"/>
      <c r="AA26" s="1045"/>
      <c r="AB26" s="1045"/>
      <c r="AC26" s="1045"/>
      <c r="AD26" s="1045"/>
      <c r="AE26" s="1045"/>
      <c r="AF26" s="1045"/>
      <c r="AG26" s="1045"/>
      <c r="AH26" s="1045"/>
      <c r="AI26" s="1045"/>
      <c r="AJ26" s="1045"/>
      <c r="AS26" s="17">
        <v>52</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18.7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26"/>
      <c r="Y39" s="1126"/>
      <c r="Z39" s="1126"/>
      <c r="AA39" s="1126"/>
      <c r="AB39" s="1127"/>
      <c r="AC39" s="1128" t="s">
        <v>431</v>
      </c>
      <c r="AD39" s="1125" t="s">
        <v>430</v>
      </c>
      <c r="AE39" s="1126"/>
      <c r="AF39" s="1126"/>
      <c r="AG39" s="1126"/>
      <c r="AH39" s="1126"/>
      <c r="AI39" s="1126"/>
      <c r="AJ39" s="1127"/>
      <c r="AK39" s="1128" t="s">
        <v>432</v>
      </c>
      <c r="AL39" s="1131" t="s">
        <v>433</v>
      </c>
      <c r="AM39" s="995"/>
      <c r="AS39" s="17">
        <v>14</v>
      </c>
    </row>
    <row r="40" spans="1:45" ht="35.65" customHeight="1">
      <c r="Q40" s="333"/>
      <c r="R40" s="333"/>
      <c r="S40" s="1124"/>
      <c r="T40" s="1073"/>
      <c r="U40" s="343"/>
      <c r="V40" s="1046" t="s">
        <v>434</v>
      </c>
      <c r="W40" s="1120"/>
      <c r="X40" s="977" t="s">
        <v>436</v>
      </c>
      <c r="Y40" s="976"/>
      <c r="Z40" s="977" t="s">
        <v>437</v>
      </c>
      <c r="AA40" s="982"/>
      <c r="AB40" s="976"/>
      <c r="AC40" s="1129"/>
      <c r="AD40" s="1046" t="s">
        <v>451</v>
      </c>
      <c r="AE40" s="1120"/>
      <c r="AF40" s="977" t="s">
        <v>436</v>
      </c>
      <c r="AG40" s="976"/>
      <c r="AH40" s="977" t="s">
        <v>437</v>
      </c>
      <c r="AI40" s="982"/>
      <c r="AJ40" s="976"/>
      <c r="AK40" s="1129"/>
      <c r="AL40" s="1132"/>
      <c r="AM40" s="995"/>
      <c r="AS40" s="17">
        <v>34</v>
      </c>
    </row>
    <row r="41" spans="1:45" ht="35.65" customHeight="1">
      <c r="B41" s="126" t="s">
        <v>138</v>
      </c>
      <c r="C41" s="126" t="s">
        <v>139</v>
      </c>
      <c r="D41" s="126" t="s">
        <v>140</v>
      </c>
      <c r="E41" s="306" t="s">
        <v>438</v>
      </c>
      <c r="F41" s="306" t="s">
        <v>439</v>
      </c>
      <c r="G41" s="306" t="s">
        <v>440</v>
      </c>
      <c r="H41" s="306" t="s">
        <v>441</v>
      </c>
      <c r="I41" s="306" t="s">
        <v>442</v>
      </c>
      <c r="J41" s="306" t="s">
        <v>443</v>
      </c>
      <c r="K41" s="306" t="s">
        <v>444</v>
      </c>
      <c r="L41" s="306" t="s">
        <v>419</v>
      </c>
      <c r="Q41" s="333"/>
      <c r="R41" s="333"/>
      <c r="S41" s="1124"/>
      <c r="T41" s="1073"/>
      <c r="U41" s="344"/>
      <c r="V41" s="1098"/>
      <c r="W41" s="1121"/>
      <c r="X41" s="134" t="s">
        <v>445</v>
      </c>
      <c r="Y41" s="134" t="s">
        <v>446</v>
      </c>
      <c r="Z41" s="134" t="s">
        <v>447</v>
      </c>
      <c r="AA41" s="1078" t="s">
        <v>448</v>
      </c>
      <c r="AB41" s="1092"/>
      <c r="AC41" s="1130"/>
      <c r="AD41" s="1098"/>
      <c r="AE41" s="1121"/>
      <c r="AF41" s="134" t="s">
        <v>445</v>
      </c>
      <c r="AG41" s="134" t="s">
        <v>446</v>
      </c>
      <c r="AH41" s="134" t="s">
        <v>447</v>
      </c>
      <c r="AI41" s="1078" t="s">
        <v>448</v>
      </c>
      <c r="AJ41" s="1092"/>
      <c r="AK41" s="1130"/>
      <c r="AL41" s="1133"/>
      <c r="AM41" s="995"/>
      <c r="AS41" s="17">
        <v>34</v>
      </c>
    </row>
    <row r="42" spans="1:45" ht="11.25" hidden="1" customHeight="1">
      <c r="Q42" s="347"/>
      <c r="R42" s="348">
        <v>1</v>
      </c>
      <c r="S42" s="349" t="s">
        <v>110</v>
      </c>
      <c r="T42" s="350" t="s">
        <v>111</v>
      </c>
      <c r="U42" s="351" t="str">
        <f ca="1">OFFSET(U42,0,-1)</f>
        <v>2</v>
      </c>
      <c r="V42" s="352">
        <f ca="1">OFFSET(V42,0,-1)+1</f>
        <v>3</v>
      </c>
      <c r="W42" s="352"/>
      <c r="X42" s="352">
        <f ca="1">OFFSET(X42,0,-1)+1</f>
        <v>1</v>
      </c>
      <c r="Y42" s="352">
        <f ca="1">OFFSET(Y42,0,-1)+1</f>
        <v>2</v>
      </c>
      <c r="Z42" s="352">
        <f ca="1">OFFSET(Z42,0,-1)+1</f>
        <v>3</v>
      </c>
      <c r="AA42" s="1122">
        <f ca="1">OFFSET(AA42,0,-1)+1</f>
        <v>4</v>
      </c>
      <c r="AB42" s="1122"/>
      <c r="AC42" s="352">
        <f ca="1">OFFSET(AC42,0,-2)+1</f>
        <v>5</v>
      </c>
      <c r="AD42" s="352">
        <f ca="1">OFFSET(AD42,0,-1)+1</f>
        <v>6</v>
      </c>
      <c r="AE42" s="352"/>
      <c r="AF42" s="352">
        <f ca="1">OFFSET(AF42,0,-1)+1</f>
        <v>1</v>
      </c>
      <c r="AG42" s="352">
        <f ca="1">OFFSET(AG42,0,-1)+1</f>
        <v>2</v>
      </c>
      <c r="AH42" s="352">
        <f ca="1">OFFSET(AH42,0,-1)+1</f>
        <v>3</v>
      </c>
      <c r="AI42" s="1122">
        <f ca="1">OFFSET(AI42,0,-1)+1</f>
        <v>4</v>
      </c>
      <c r="AJ42" s="1122"/>
      <c r="AK42" s="352">
        <f ca="1">OFFSET(AK42,0,-2)+1</f>
        <v>5</v>
      </c>
      <c r="AL42" s="351">
        <f ca="1">OFFSET(AL42,0,-1)</f>
        <v>5</v>
      </c>
      <c r="AM42" s="352">
        <f ca="1">OFFSET(AM42,0,-1)+1</f>
        <v>6</v>
      </c>
      <c r="AS42" s="258">
        <v>0</v>
      </c>
    </row>
    <row r="43" spans="1:45" ht="21.95" customHeight="1">
      <c r="A43" s="353" t="s">
        <v>183</v>
      </c>
      <c r="E43" s="1111">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21</v>
      </c>
    </row>
    <row r="44" spans="1:45" ht="21.95" customHeight="1">
      <c r="A44" s="353" t="s">
        <v>183</v>
      </c>
      <c r="B44" s="353" t="s">
        <v>184</v>
      </c>
      <c r="E44" s="1112"/>
      <c r="F44" s="1111">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21</v>
      </c>
    </row>
    <row r="45" spans="1:45" ht="24" customHeight="1">
      <c r="A45" s="353" t="s">
        <v>183</v>
      </c>
      <c r="B45" s="353" t="s">
        <v>184</v>
      </c>
      <c r="C45" s="353" t="s">
        <v>185</v>
      </c>
      <c r="E45" s="1112"/>
      <c r="F45" s="1112"/>
      <c r="G45" s="1111">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1.95" customHeight="1">
      <c r="A46" s="353" t="s">
        <v>183</v>
      </c>
      <c r="B46" s="353" t="s">
        <v>184</v>
      </c>
      <c r="C46" s="353" t="s">
        <v>185</v>
      </c>
      <c r="D46" s="353" t="s">
        <v>186</v>
      </c>
      <c r="E46" s="1112"/>
      <c r="F46" s="1112"/>
      <c r="G46" s="1112"/>
      <c r="H46" s="1111">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21</v>
      </c>
    </row>
    <row r="47" spans="1:45" ht="0" hidden="1" customHeight="1">
      <c r="A47" s="72" t="s">
        <v>183</v>
      </c>
      <c r="B47" s="72" t="s">
        <v>184</v>
      </c>
      <c r="C47" s="72" t="s">
        <v>185</v>
      </c>
      <c r="D47" s="72" t="s">
        <v>186</v>
      </c>
      <c r="E47" s="1112"/>
      <c r="F47" s="1112"/>
      <c r="G47" s="1112"/>
      <c r="H47" s="1112"/>
      <c r="I47" s="1113" t="str">
        <f>S46&amp;".1"</f>
        <v>....1</v>
      </c>
      <c r="L47" s="371" t="s">
        <v>404</v>
      </c>
      <c r="P47" s="1115">
        <v>1</v>
      </c>
      <c r="R47" s="307"/>
      <c r="S47" s="193"/>
      <c r="T47" s="363"/>
      <c r="U47" s="364"/>
      <c r="V47" s="1142"/>
      <c r="W47" s="1143"/>
      <c r="X47" s="1143"/>
      <c r="Y47" s="1143"/>
      <c r="Z47" s="1143"/>
      <c r="AA47" s="1143"/>
      <c r="AB47" s="1143"/>
      <c r="AC47" s="1144"/>
      <c r="AD47" s="1142"/>
      <c r="AE47" s="1143"/>
      <c r="AF47" s="1143"/>
      <c r="AG47" s="1143"/>
      <c r="AH47" s="1143"/>
      <c r="AI47" s="1143"/>
      <c r="AJ47" s="1143"/>
      <c r="AK47" s="1143"/>
      <c r="AL47" s="1144"/>
      <c r="AM47" s="366"/>
      <c r="AP47" s="87" t="str">
        <f t="shared" si="1"/>
        <v/>
      </c>
      <c r="AS47" s="75">
        <v>0</v>
      </c>
    </row>
    <row r="48" spans="1:45" ht="21.95" customHeight="1">
      <c r="A48" s="353" t="s">
        <v>183</v>
      </c>
      <c r="B48" s="353" t="s">
        <v>184</v>
      </c>
      <c r="C48" s="353" t="s">
        <v>185</v>
      </c>
      <c r="D48" s="353" t="s">
        <v>186</v>
      </c>
      <c r="E48" s="1112"/>
      <c r="F48" s="1112"/>
      <c r="G48" s="1112"/>
      <c r="H48" s="1112"/>
      <c r="I48" s="1114"/>
      <c r="J48" s="1113" t="str">
        <f>S46&amp;".1"</f>
        <v>....1</v>
      </c>
      <c r="L48" s="306" t="s">
        <v>407</v>
      </c>
      <c r="P48" s="964"/>
      <c r="Q48" s="1115">
        <v>1</v>
      </c>
      <c r="R48" s="309"/>
      <c r="S48" s="295" t="str">
        <f>$J48</f>
        <v>....1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21</v>
      </c>
    </row>
    <row r="49" spans="1:45" ht="21.95" customHeight="1">
      <c r="A49" s="353" t="s">
        <v>183</v>
      </c>
      <c r="B49" s="353" t="s">
        <v>184</v>
      </c>
      <c r="C49" s="353" t="s">
        <v>185</v>
      </c>
      <c r="D49" s="353" t="s">
        <v>186</v>
      </c>
      <c r="E49" s="1112"/>
      <c r="F49" s="1112"/>
      <c r="G49" s="1112"/>
      <c r="H49" s="1112"/>
      <c r="I49" s="1114"/>
      <c r="J49" s="1114"/>
      <c r="K49" s="1113" t="str">
        <f>J48&amp;".1"</f>
        <v>....1.1</v>
      </c>
      <c r="L49" s="306" t="s">
        <v>410</v>
      </c>
      <c r="P49" s="964"/>
      <c r="Q49" s="964"/>
      <c r="R49" s="309">
        <v>1</v>
      </c>
      <c r="S49" s="295" t="str">
        <f>$K49</f>
        <v>....1.1</v>
      </c>
      <c r="T49" s="311"/>
      <c r="U49" s="297"/>
      <c r="V49" s="312"/>
      <c r="W49" s="313"/>
      <c r="X49" s="312"/>
      <c r="Y49" s="314"/>
      <c r="Z49" s="1116"/>
      <c r="AA49" s="1004" t="s">
        <v>66</v>
      </c>
      <c r="AB49" s="1116"/>
      <c r="AC49" s="1004" t="s">
        <v>66</v>
      </c>
      <c r="AD49" s="312"/>
      <c r="AE49" s="313"/>
      <c r="AF49" s="312"/>
      <c r="AG49" s="314"/>
      <c r="AH49" s="1116"/>
      <c r="AI49" s="1004" t="s">
        <v>66</v>
      </c>
      <c r="AJ49" s="1118"/>
      <c r="AK49" s="1004" t="s">
        <v>66</v>
      </c>
      <c r="AL49" s="354"/>
      <c r="AM49" s="1134" t="s">
        <v>452</v>
      </c>
      <c r="AN49" s="75" t="e">
        <f ca="1">STRCHECKDATE(V50:AL50)</f>
        <v>#NAME?</v>
      </c>
      <c r="AP49" s="87" t="str">
        <f t="shared" si="1"/>
        <v/>
      </c>
      <c r="AS49" s="17">
        <v>21</v>
      </c>
    </row>
    <row r="50" spans="1:45" ht="1.1499999999999999" customHeight="1">
      <c r="A50" s="353" t="s">
        <v>183</v>
      </c>
      <c r="B50" s="353" t="s">
        <v>184</v>
      </c>
      <c r="C50" s="353" t="s">
        <v>185</v>
      </c>
      <c r="D50" s="353" t="s">
        <v>186</v>
      </c>
      <c r="E50" s="1112"/>
      <c r="F50" s="1112"/>
      <c r="G50" s="1112"/>
      <c r="H50" s="1112"/>
      <c r="I50" s="1114"/>
      <c r="J50" s="1114"/>
      <c r="K50" s="1113"/>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1</v>
      </c>
    </row>
    <row r="51" spans="1:45" ht="11.45" customHeight="1">
      <c r="A51" s="353" t="s">
        <v>183</v>
      </c>
      <c r="B51" s="353" t="s">
        <v>184</v>
      </c>
      <c r="C51" s="353" t="s">
        <v>185</v>
      </c>
      <c r="D51" s="353" t="s">
        <v>186</v>
      </c>
      <c r="E51" s="1112"/>
      <c r="F51" s="1112"/>
      <c r="G51" s="1112"/>
      <c r="H51" s="1112"/>
      <c r="I51" s="1114"/>
      <c r="J51" s="1113"/>
      <c r="P51" s="964"/>
      <c r="Q51" s="964"/>
      <c r="R51" s="307"/>
      <c r="S51" s="318"/>
      <c r="T51" s="321"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353" t="s">
        <v>183</v>
      </c>
      <c r="B52" s="353" t="s">
        <v>184</v>
      </c>
      <c r="C52" s="353" t="s">
        <v>185</v>
      </c>
      <c r="D52" s="353" t="s">
        <v>186</v>
      </c>
      <c r="E52" s="1112"/>
      <c r="F52" s="1112"/>
      <c r="G52" s="1112"/>
      <c r="H52" s="1112"/>
      <c r="I52" s="1113"/>
      <c r="P52" s="964"/>
      <c r="R52" s="307"/>
      <c r="S52" s="318"/>
      <c r="T52" s="324"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0" hidden="1" customHeight="1">
      <c r="A53" s="353" t="s">
        <v>183</v>
      </c>
      <c r="B53" s="353" t="s">
        <v>184</v>
      </c>
      <c r="C53" s="353" t="s">
        <v>185</v>
      </c>
      <c r="D53" s="353" t="s">
        <v>186</v>
      </c>
      <c r="E53" s="1112"/>
      <c r="F53" s="1112"/>
      <c r="G53" s="1112"/>
      <c r="H53" s="1111"/>
      <c r="R53" s="294"/>
      <c r="S53" s="367"/>
      <c r="T53" s="368"/>
      <c r="U53" s="369"/>
      <c r="V53" s="369"/>
      <c r="W53" s="369"/>
      <c r="X53" s="369"/>
      <c r="Y53" s="369"/>
      <c r="Z53" s="369"/>
      <c r="AA53" s="369"/>
      <c r="AB53" s="369"/>
      <c r="AC53" s="369"/>
      <c r="AD53" s="369"/>
      <c r="AE53" s="369"/>
      <c r="AF53" s="369"/>
      <c r="AG53" s="369"/>
      <c r="AH53" s="369"/>
      <c r="AI53" s="369"/>
      <c r="AJ53" s="369"/>
      <c r="AK53" s="369"/>
      <c r="AL53" s="369"/>
      <c r="AM53" s="370"/>
      <c r="AP53" s="87" t="str">
        <f t="shared" si="1"/>
        <v/>
      </c>
      <c r="AS53" s="17">
        <v>0</v>
      </c>
    </row>
    <row r="54" spans="1:45" ht="1.1499999999999999" customHeight="1">
      <c r="A54" s="72" t="s">
        <v>183</v>
      </c>
      <c r="B54" s="72" t="s">
        <v>184</v>
      </c>
      <c r="C54" s="72" t="s">
        <v>185</v>
      </c>
      <c r="E54" s="1112"/>
      <c r="F54" s="1112"/>
      <c r="G54" s="1111"/>
      <c r="T54" s="329" t="s">
        <v>415</v>
      </c>
      <c r="AP54" s="87" t="str">
        <f t="shared" si="1"/>
        <v>Добавить источник для дифференциации</v>
      </c>
      <c r="AS54" s="75">
        <v>1</v>
      </c>
    </row>
    <row r="55" spans="1:45" ht="1.1499999999999999" customHeight="1">
      <c r="A55" s="72" t="s">
        <v>183</v>
      </c>
      <c r="B55" s="72" t="s">
        <v>184</v>
      </c>
      <c r="E55" s="1112"/>
      <c r="F55" s="1111"/>
      <c r="T55" s="329" t="s">
        <v>416</v>
      </c>
      <c r="AP55" s="87" t="str">
        <f t="shared" si="1"/>
        <v>Добавить централизованную систему для дифференциации</v>
      </c>
      <c r="AS55" s="75">
        <v>1</v>
      </c>
    </row>
    <row r="56" spans="1:45" ht="1.1499999999999999" customHeight="1">
      <c r="A56" s="72" t="s">
        <v>183</v>
      </c>
      <c r="E56" s="1111"/>
      <c r="T56" s="329" t="s">
        <v>417</v>
      </c>
      <c r="AP56" s="87" t="str">
        <f t="shared" si="1"/>
        <v>Добавить территорию для дифференциации</v>
      </c>
      <c r="AS56" s="75">
        <v>1</v>
      </c>
    </row>
    <row r="57" spans="1:45" ht="1.1499999999999999" customHeight="1">
      <c r="T57" s="329" t="s">
        <v>449</v>
      </c>
      <c r="AP57" s="87" t="str">
        <f t="shared" si="1"/>
        <v>Добавить наименование тарифа</v>
      </c>
      <c r="AS57" s="75">
        <v>1</v>
      </c>
    </row>
    <row r="58" spans="1:45" ht="11.45" customHeight="1">
      <c r="AS58" s="17">
        <v>11</v>
      </c>
    </row>
    <row r="59" spans="1:45" ht="23.25"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22</v>
      </c>
    </row>
    <row r="60" spans="1:45" ht="30.4"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29</v>
      </c>
    </row>
    <row r="61" spans="1:45" ht="42" customHeight="1">
      <c r="T61" s="964"/>
      <c r="U61" s="964"/>
      <c r="V61" s="964"/>
      <c r="W61" s="964"/>
      <c r="X61" s="964"/>
      <c r="Y61" s="964"/>
      <c r="Z61" s="964"/>
      <c r="AA61" s="964"/>
      <c r="AB61" s="964"/>
      <c r="AC61" s="964"/>
      <c r="AD61" s="964"/>
      <c r="AE61" s="964"/>
      <c r="AF61" s="964"/>
      <c r="AG61" s="964"/>
      <c r="AH61" s="964"/>
      <c r="AI61" s="964"/>
      <c r="AJ61" s="964"/>
      <c r="AK61" s="964"/>
      <c r="AL61" s="964"/>
      <c r="AM61" s="964"/>
      <c r="AS61" s="17">
        <v>40</v>
      </c>
    </row>
    <row r="62" spans="1:45" ht="14.65" customHeight="1">
      <c r="AS62" s="17">
        <v>14</v>
      </c>
    </row>
    <row r="63" spans="1:45" ht="21"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20</v>
      </c>
    </row>
    <row r="64" spans="1:45" ht="29.2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28</v>
      </c>
    </row>
    <row r="65" spans="1:45" ht="35.65" customHeight="1">
      <c r="T65" s="964"/>
      <c r="U65" s="964"/>
      <c r="V65" s="964"/>
      <c r="W65" s="964"/>
      <c r="X65" s="964"/>
      <c r="Y65" s="964"/>
      <c r="Z65" s="964"/>
      <c r="AA65" s="964"/>
      <c r="AB65" s="964"/>
      <c r="AC65" s="964"/>
      <c r="AD65" s="964"/>
      <c r="AE65" s="964"/>
      <c r="AF65" s="964"/>
      <c r="AG65" s="964"/>
      <c r="AH65" s="964"/>
      <c r="AI65" s="964"/>
      <c r="AJ65" s="964"/>
      <c r="AK65" s="964"/>
      <c r="AL65" s="964"/>
      <c r="AM65" s="964"/>
      <c r="AS65" s="17">
        <v>34</v>
      </c>
    </row>
    <row r="66" spans="1:45" ht="22.5" hidden="1" customHeight="1">
      <c r="A66" s="37" t="s">
        <v>82</v>
      </c>
      <c r="B66" s="37">
        <v>0</v>
      </c>
      <c r="C66" s="37">
        <v>0</v>
      </c>
      <c r="D66" s="37">
        <v>0</v>
      </c>
      <c r="E66" s="37">
        <v>0</v>
      </c>
      <c r="F66" s="37">
        <v>0</v>
      </c>
      <c r="G66" s="37">
        <v>0</v>
      </c>
      <c r="H66" s="37">
        <v>0</v>
      </c>
      <c r="I66" s="37">
        <v>0</v>
      </c>
      <c r="J66" s="37">
        <v>0</v>
      </c>
      <c r="K66" s="37">
        <v>0</v>
      </c>
      <c r="L66" s="240">
        <v>0</v>
      </c>
      <c r="M66" s="41">
        <v>0</v>
      </c>
      <c r="N66" s="41">
        <v>0</v>
      </c>
      <c r="O66" s="41">
        <v>0</v>
      </c>
      <c r="P66" s="356">
        <v>0</v>
      </c>
      <c r="Q66" s="357">
        <v>3</v>
      </c>
      <c r="R66" s="357">
        <v>3</v>
      </c>
      <c r="S66" s="33">
        <v>12</v>
      </c>
      <c r="T66" s="17">
        <v>31</v>
      </c>
      <c r="U66" s="17">
        <v>0</v>
      </c>
      <c r="V66" s="17">
        <v>0</v>
      </c>
      <c r="W66" s="17">
        <v>0</v>
      </c>
      <c r="X66" s="17">
        <v>0</v>
      </c>
      <c r="Y66" s="17">
        <v>0</v>
      </c>
      <c r="Z66" s="17">
        <v>0</v>
      </c>
      <c r="AA66" s="17">
        <v>0</v>
      </c>
      <c r="AB66" s="17">
        <v>0</v>
      </c>
      <c r="AC66" s="17">
        <v>0</v>
      </c>
      <c r="AD66" s="17">
        <v>24</v>
      </c>
      <c r="AE66" s="17">
        <v>0</v>
      </c>
      <c r="AF66" s="17">
        <v>24</v>
      </c>
      <c r="AG66" s="17">
        <v>24</v>
      </c>
      <c r="AH66" s="17">
        <v>11</v>
      </c>
      <c r="AI66" s="17">
        <v>3</v>
      </c>
      <c r="AJ66" s="17">
        <v>11</v>
      </c>
      <c r="AK66" s="17">
        <v>0</v>
      </c>
      <c r="AL66" s="17">
        <v>4</v>
      </c>
      <c r="AM66" s="17">
        <v>115</v>
      </c>
      <c r="AN66" s="75">
        <v>10</v>
      </c>
      <c r="AO66" s="75">
        <v>10</v>
      </c>
      <c r="AP66" s="75">
        <v>10</v>
      </c>
      <c r="AQ66" s="75">
        <v>10</v>
      </c>
      <c r="AR66" s="75">
        <v>10</v>
      </c>
      <c r="AS66" s="17">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50149-22BE-FD86-0791-0B99FF3F616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c r="AS1" s="17" t="s">
        <v>14</v>
      </c>
    </row>
    <row r="2" spans="5:45" ht="21" hidden="1" customHeight="1">
      <c r="E2" s="1111">
        <v>1</v>
      </c>
      <c r="R2" s="294"/>
      <c r="S2" s="295" t="e">
        <f>INDEX(PT_DIFFERENTIATION_NUM_NTAR,MATCH(A2,PT_DIFFERENTIATION_NTAR_ID,0))</f>
        <v>#N/A</v>
      </c>
      <c r="T2" s="296" t="s">
        <v>126</v>
      </c>
      <c r="U2" s="297"/>
      <c r="V2" s="1106"/>
      <c r="W2" s="1107"/>
      <c r="X2" s="1107"/>
      <c r="Y2" s="1107"/>
      <c r="Z2" s="1107"/>
      <c r="AA2" s="1107"/>
      <c r="AB2" s="1107"/>
      <c r="AC2" s="1108"/>
      <c r="AD2" s="1106" t="e">
        <f>INDEX(PT_DIFFERENTIATION_NTAR,MATCH(A2,PT_DIFFERENTIATION_NTAR_ID,0))</f>
        <v>#N/A</v>
      </c>
      <c r="AE2" s="1107"/>
      <c r="AF2" s="1107"/>
      <c r="AG2" s="1107"/>
      <c r="AH2" s="1107"/>
      <c r="AI2" s="1107"/>
      <c r="AJ2" s="1107"/>
      <c r="AK2" s="1107"/>
      <c r="AL2" s="1108"/>
      <c r="AM2" s="299" t="s">
        <v>397</v>
      </c>
      <c r="AP2" s="87" t="str">
        <f t="shared" ref="AP2:AP15" si="0">IF(T2="","",T2)</f>
        <v>Наименование тарифа</v>
      </c>
      <c r="AS2" s="17">
        <v>0</v>
      </c>
    </row>
    <row r="3" spans="5:45" ht="21"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8"/>
      <c r="AD3" s="1106" t="e">
        <f>INDEX(PT_DIFFERENTIATION_TER,MATCH(B3,PT_DIFFERENTIATION_TER_ID,0))</f>
        <v>#N/A</v>
      </c>
      <c r="AE3" s="1107"/>
      <c r="AF3" s="1107"/>
      <c r="AG3" s="1107"/>
      <c r="AH3" s="1107"/>
      <c r="AI3" s="1107"/>
      <c r="AJ3" s="1107"/>
      <c r="AK3" s="1107"/>
      <c r="AL3" s="1108"/>
      <c r="AM3" s="299" t="s">
        <v>399</v>
      </c>
      <c r="AP3" s="87" t="str">
        <f t="shared" si="0"/>
        <v>Территория действия тарифа</v>
      </c>
      <c r="AS3" s="17">
        <v>0</v>
      </c>
    </row>
    <row r="4" spans="5:45" ht="23.25" hidden="1" customHeight="1">
      <c r="E4" s="1112"/>
      <c r="F4" s="1112"/>
      <c r="G4" s="1111">
        <v>1</v>
      </c>
      <c r="Q4" s="300"/>
      <c r="R4" s="301"/>
      <c r="S4" s="295" t="e">
        <f>INDEX(PT_DIFFERENTIATION_NUM_CS,MATCH(C4,PT_DIFFERENTIATION_CS_ID,0))</f>
        <v>#N/A</v>
      </c>
      <c r="T4" s="303" t="s">
        <v>400</v>
      </c>
      <c r="U4" s="297"/>
      <c r="V4" s="1106"/>
      <c r="W4" s="1107"/>
      <c r="X4" s="1107"/>
      <c r="Y4" s="1107"/>
      <c r="Z4" s="1107"/>
      <c r="AA4" s="1107"/>
      <c r="AB4" s="1107"/>
      <c r="AC4" s="1108"/>
      <c r="AD4" s="1106" t="e">
        <f>INDEX(PT_DIFFERENTIATION_CS,MATCH(C4,PT_DIFFERENTIATION_CS_ID,0))</f>
        <v>#N/A</v>
      </c>
      <c r="AE4" s="1107"/>
      <c r="AF4" s="1107"/>
      <c r="AG4" s="1107"/>
      <c r="AH4" s="1107"/>
      <c r="AI4" s="1107"/>
      <c r="AJ4" s="1107"/>
      <c r="AK4" s="1107"/>
      <c r="AL4" s="1108"/>
      <c r="AM4" s="299" t="s">
        <v>401</v>
      </c>
      <c r="AP4" s="87" t="str">
        <f t="shared" si="0"/>
        <v xml:space="preserve">Наименование системы теплоснабжения </v>
      </c>
      <c r="AS4" s="17">
        <v>0</v>
      </c>
    </row>
    <row r="5" spans="5:45" ht="21" hidden="1" customHeight="1">
      <c r="E5" s="1112"/>
      <c r="F5" s="1112"/>
      <c r="G5" s="1112"/>
      <c r="H5" s="1111">
        <v>1</v>
      </c>
      <c r="Q5" s="300"/>
      <c r="R5" s="301"/>
      <c r="S5" s="295" t="e">
        <f>INDEX(PT_DIFFERENTIATION_NUM_IST_TE,MATCH(D5,PT_DIFFERENTIATION_IST_TE_ID,0))</f>
        <v>#N/A</v>
      </c>
      <c r="T5" s="304" t="s">
        <v>402</v>
      </c>
      <c r="U5" s="297"/>
      <c r="V5" s="1106"/>
      <c r="W5" s="1107"/>
      <c r="X5" s="1107"/>
      <c r="Y5" s="1107"/>
      <c r="Z5" s="1107"/>
      <c r="AA5" s="1107"/>
      <c r="AB5" s="1107"/>
      <c r="AC5" s="1108"/>
      <c r="AD5" s="1106" t="e">
        <f>INDEX(PT_DIFFERENTIATION_IST_TE,MATCH(D5,PT_DIFFERENTIATION_IST_TE_ID,0))</f>
        <v>#N/A</v>
      </c>
      <c r="AE5" s="1107"/>
      <c r="AF5" s="1107"/>
      <c r="AG5" s="1107"/>
      <c r="AH5" s="1107"/>
      <c r="AI5" s="1107"/>
      <c r="AJ5" s="1107"/>
      <c r="AK5" s="1107"/>
      <c r="AL5" s="1108"/>
      <c r="AM5" s="299" t="s">
        <v>403</v>
      </c>
      <c r="AP5" s="87" t="str">
        <f t="shared" si="0"/>
        <v xml:space="preserve">Источник тепловой энергии  </v>
      </c>
      <c r="AS5" s="17">
        <v>0</v>
      </c>
    </row>
    <row r="6" spans="5:45" ht="14.25" hidden="1" customHeight="1">
      <c r="E6" s="1112"/>
      <c r="F6" s="1112"/>
      <c r="G6" s="1112"/>
      <c r="H6" s="1112"/>
      <c r="I6" s="1113" t="e">
        <f>S5&amp;".1"</f>
        <v>#N/A</v>
      </c>
      <c r="L6" s="306" t="s">
        <v>404</v>
      </c>
      <c r="P6" s="1115">
        <v>1</v>
      </c>
      <c r="R6" s="307"/>
      <c r="S6" s="193"/>
      <c r="T6" s="363"/>
      <c r="U6" s="364"/>
      <c r="V6" s="1142"/>
      <c r="W6" s="1143"/>
      <c r="X6" s="1143"/>
      <c r="Y6" s="1143"/>
      <c r="Z6" s="1143"/>
      <c r="AA6" s="1143"/>
      <c r="AB6" s="1143"/>
      <c r="AC6" s="1144"/>
      <c r="AD6" s="1142"/>
      <c r="AE6" s="1143"/>
      <c r="AF6" s="1143"/>
      <c r="AG6" s="1143"/>
      <c r="AH6" s="1143"/>
      <c r="AI6" s="1143"/>
      <c r="AJ6" s="1143"/>
      <c r="AK6" s="1143"/>
      <c r="AL6" s="1144"/>
      <c r="AM6" s="366"/>
      <c r="AP6" s="87" t="str">
        <f t="shared" si="0"/>
        <v/>
      </c>
      <c r="AS6" s="17">
        <v>0</v>
      </c>
    </row>
    <row r="7" spans="5:45" ht="21" hidden="1" customHeight="1">
      <c r="E7" s="1112"/>
      <c r="F7" s="1112"/>
      <c r="G7" s="1112"/>
      <c r="H7" s="1112"/>
      <c r="I7" s="1114"/>
      <c r="J7" s="1113" t="e">
        <f>I6&amp;".1"</f>
        <v>#N/A</v>
      </c>
      <c r="L7" s="306" t="s">
        <v>407</v>
      </c>
      <c r="P7" s="964"/>
      <c r="Q7" s="1115">
        <v>1</v>
      </c>
      <c r="R7" s="309"/>
      <c r="S7" s="295" t="e">
        <f>$J7</f>
        <v>#N/A</v>
      </c>
      <c r="T7" s="310" t="s">
        <v>408</v>
      </c>
      <c r="U7" s="297"/>
      <c r="V7" s="1100"/>
      <c r="W7" s="1101"/>
      <c r="X7" s="1101"/>
      <c r="Y7" s="1101"/>
      <c r="Z7" s="1101"/>
      <c r="AA7" s="1101"/>
      <c r="AB7" s="1101"/>
      <c r="AC7" s="1102"/>
      <c r="AD7" s="1100"/>
      <c r="AE7" s="1101"/>
      <c r="AF7" s="1101"/>
      <c r="AG7" s="1101"/>
      <c r="AH7" s="1101"/>
      <c r="AI7" s="1101"/>
      <c r="AJ7" s="1101"/>
      <c r="AK7" s="1101"/>
      <c r="AL7" s="1102"/>
      <c r="AM7" s="299" t="s">
        <v>409</v>
      </c>
      <c r="AP7" s="87" t="str">
        <f t="shared" si="0"/>
        <v>Группа потребителей</v>
      </c>
      <c r="AS7" s="17">
        <v>0</v>
      </c>
    </row>
    <row r="8" spans="5:45" ht="21" hidden="1" customHeight="1">
      <c r="E8" s="1112"/>
      <c r="F8" s="1112"/>
      <c r="G8" s="1112"/>
      <c r="H8" s="1112"/>
      <c r="I8" s="1114"/>
      <c r="J8" s="1114"/>
      <c r="K8" s="1113" t="e">
        <f>J7&amp;".1"</f>
        <v>#N/A</v>
      </c>
      <c r="L8" s="306" t="s">
        <v>410</v>
      </c>
      <c r="P8" s="964"/>
      <c r="Q8" s="964"/>
      <c r="R8" s="309">
        <v>1</v>
      </c>
      <c r="S8" s="295" t="e">
        <f>$K8</f>
        <v>#N/A</v>
      </c>
      <c r="T8" s="311"/>
      <c r="U8" s="297"/>
      <c r="V8" s="312"/>
      <c r="W8" s="313"/>
      <c r="X8" s="312"/>
      <c r="Y8" s="314"/>
      <c r="Z8" s="1116"/>
      <c r="AA8" s="1004" t="s">
        <v>66</v>
      </c>
      <c r="AB8" s="1116"/>
      <c r="AC8" s="1004" t="s">
        <v>66</v>
      </c>
      <c r="AD8" s="312"/>
      <c r="AE8" s="313"/>
      <c r="AF8" s="312"/>
      <c r="AG8" s="314"/>
      <c r="AH8" s="1116"/>
      <c r="AI8" s="1004" t="s">
        <v>66</v>
      </c>
      <c r="AJ8" s="1116"/>
      <c r="AK8" s="1004" t="s">
        <v>66</v>
      </c>
      <c r="AL8" s="313"/>
      <c r="AM8" s="1134" t="s">
        <v>411</v>
      </c>
      <c r="AN8" s="75" t="e">
        <f ca="1">STRCHECKDATE(V9:AL9)</f>
        <v>#NAME?</v>
      </c>
      <c r="AP8" s="87" t="str">
        <f t="shared" si="0"/>
        <v/>
      </c>
      <c r="AS8" s="17">
        <v>0</v>
      </c>
    </row>
    <row r="9" spans="5:45" ht="14.25" hidden="1" customHeight="1">
      <c r="E9" s="1112"/>
      <c r="F9" s="1112"/>
      <c r="G9" s="1112"/>
      <c r="H9" s="1112"/>
      <c r="I9" s="1114"/>
      <c r="J9" s="1114"/>
      <c r="K9" s="1113"/>
      <c r="P9" s="964"/>
      <c r="Q9" s="964"/>
      <c r="R9" s="309"/>
      <c r="S9" s="278"/>
      <c r="T9" s="297"/>
      <c r="U9" s="297"/>
      <c r="V9" s="313"/>
      <c r="W9" s="313"/>
      <c r="X9" s="313"/>
      <c r="Y9" s="316" t="str">
        <f>Z8&amp;"-"&amp;AB8</f>
        <v>-</v>
      </c>
      <c r="Z9" s="1117"/>
      <c r="AA9" s="1004"/>
      <c r="AB9" s="1117"/>
      <c r="AC9" s="1004"/>
      <c r="AD9" s="313"/>
      <c r="AE9" s="313"/>
      <c r="AF9" s="313"/>
      <c r="AG9" s="316" t="str">
        <f>AH8&amp;"-"&amp;AJ8</f>
        <v>-</v>
      </c>
      <c r="AH9" s="1117"/>
      <c r="AI9" s="1004"/>
      <c r="AJ9" s="1117"/>
      <c r="AK9" s="1004"/>
      <c r="AL9" s="313"/>
      <c r="AM9" s="1135"/>
      <c r="AP9" s="87" t="str">
        <f t="shared" si="0"/>
        <v/>
      </c>
      <c r="AS9" s="17">
        <v>0</v>
      </c>
    </row>
    <row r="10" spans="5:45" ht="15" hidden="1" customHeight="1">
      <c r="E10" s="1112"/>
      <c r="F10" s="1112"/>
      <c r="G10" s="1112"/>
      <c r="H10" s="1112"/>
      <c r="I10" s="1114"/>
      <c r="J10" s="1113"/>
      <c r="P10" s="964"/>
      <c r="Q10" s="964"/>
      <c r="R10" s="307"/>
      <c r="S10" s="318"/>
      <c r="T10" s="321" t="s">
        <v>412</v>
      </c>
      <c r="U10" s="117"/>
      <c r="V10" s="117"/>
      <c r="W10" s="117"/>
      <c r="X10" s="117"/>
      <c r="Y10" s="117"/>
      <c r="Z10" s="117"/>
      <c r="AA10" s="117"/>
      <c r="AB10" s="117"/>
      <c r="AC10" s="117"/>
      <c r="AD10" s="117"/>
      <c r="AE10" s="117"/>
      <c r="AF10" s="117"/>
      <c r="AG10" s="117"/>
      <c r="AH10" s="117"/>
      <c r="AI10" s="117"/>
      <c r="AJ10" s="117"/>
      <c r="AK10" s="117"/>
      <c r="AL10" s="320"/>
      <c r="AM10" s="1136"/>
      <c r="AP10" s="87" t="str">
        <f t="shared" si="0"/>
        <v>Добавить вид теплоносителя (параметры теплоносителя)</v>
      </c>
      <c r="AS10" s="17">
        <v>0</v>
      </c>
    </row>
    <row r="11" spans="5:45" ht="11.25" hidden="1" customHeight="1">
      <c r="E11" s="1112"/>
      <c r="F11" s="1112"/>
      <c r="G11" s="1112"/>
      <c r="H11" s="1112"/>
      <c r="I11" s="1113"/>
      <c r="P11" s="964"/>
      <c r="R11" s="307"/>
      <c r="S11" s="318"/>
      <c r="T11" s="324" t="s">
        <v>413</v>
      </c>
      <c r="U11" s="117"/>
      <c r="V11" s="117"/>
      <c r="W11" s="117"/>
      <c r="X11" s="117"/>
      <c r="Y11" s="117"/>
      <c r="Z11" s="117"/>
      <c r="AA11" s="117"/>
      <c r="AB11" s="117"/>
      <c r="AC11" s="322"/>
      <c r="AD11" s="117"/>
      <c r="AE11" s="117"/>
      <c r="AF11" s="117"/>
      <c r="AG11" s="117"/>
      <c r="AH11" s="117"/>
      <c r="AI11" s="117"/>
      <c r="AJ11" s="117"/>
      <c r="AK11" s="322"/>
      <c r="AL11" s="117"/>
      <c r="AM11" s="323"/>
      <c r="AP11" s="87" t="str">
        <f t="shared" si="0"/>
        <v>Добавить группу потребителей</v>
      </c>
      <c r="AS11" s="17">
        <v>0</v>
      </c>
    </row>
    <row r="12" spans="5:45" ht="14.25" hidden="1" customHeight="1">
      <c r="E12" s="1112"/>
      <c r="F12" s="1112"/>
      <c r="G12" s="1112"/>
      <c r="H12" s="1111"/>
      <c r="R12" s="294"/>
      <c r="S12" s="367"/>
      <c r="T12" s="368"/>
      <c r="U12" s="369"/>
      <c r="V12" s="369"/>
      <c r="W12" s="369"/>
      <c r="X12" s="369"/>
      <c r="Y12" s="369"/>
      <c r="Z12" s="369"/>
      <c r="AA12" s="369"/>
      <c r="AB12" s="369"/>
      <c r="AC12" s="369"/>
      <c r="AD12" s="369"/>
      <c r="AE12" s="369"/>
      <c r="AF12" s="369"/>
      <c r="AG12" s="369"/>
      <c r="AH12" s="369"/>
      <c r="AI12" s="369"/>
      <c r="AJ12" s="369"/>
      <c r="AK12" s="369"/>
      <c r="AL12" s="369"/>
      <c r="AM12" s="370"/>
      <c r="AP12" s="87" t="str">
        <f t="shared" si="0"/>
        <v/>
      </c>
      <c r="AS12" s="17">
        <v>0</v>
      </c>
    </row>
    <row r="13" spans="5:45" ht="14.25" hidden="1" customHeight="1">
      <c r="E13" s="1112"/>
      <c r="F13" s="1112"/>
      <c r="G13" s="1111"/>
      <c r="S13" s="325"/>
      <c r="T13" s="326" t="s">
        <v>415</v>
      </c>
      <c r="U13" s="327"/>
      <c r="V13" s="327"/>
      <c r="W13" s="327"/>
      <c r="X13" s="327"/>
      <c r="Y13" s="327"/>
      <c r="Z13" s="327"/>
      <c r="AA13" s="327"/>
      <c r="AB13" s="327"/>
      <c r="AC13" s="327"/>
      <c r="AD13" s="327"/>
      <c r="AE13" s="327"/>
      <c r="AF13" s="327"/>
      <c r="AG13" s="327"/>
      <c r="AH13" s="327"/>
      <c r="AI13" s="327"/>
      <c r="AJ13" s="327"/>
      <c r="AK13" s="327"/>
      <c r="AL13" s="327"/>
      <c r="AM13" s="327"/>
      <c r="AP13" s="87" t="str">
        <f t="shared" si="0"/>
        <v>Добавить источник для дифференциации</v>
      </c>
      <c r="AS13" s="75">
        <v>0</v>
      </c>
    </row>
    <row r="14" spans="5:45" ht="14.25" hidden="1" customHeight="1">
      <c r="E14" s="1112"/>
      <c r="F14" s="1111"/>
      <c r="T14" s="328" t="s">
        <v>416</v>
      </c>
      <c r="AP14" s="87" t="str">
        <f t="shared" si="0"/>
        <v>Добавить централизованную систему для дифференциации</v>
      </c>
      <c r="AS14" s="75">
        <v>0</v>
      </c>
    </row>
    <row r="15" spans="5:45" ht="14.25" hidden="1" customHeight="1">
      <c r="E15" s="1111"/>
      <c r="T15" s="329" t="s">
        <v>417</v>
      </c>
      <c r="AP15" s="87" t="str">
        <f t="shared" si="0"/>
        <v>Добавить территорию для дифференциации</v>
      </c>
      <c r="AS15" s="75">
        <v>0</v>
      </c>
    </row>
    <row r="16" spans="5:45" ht="14.25" hidden="1" customHeight="1">
      <c r="AS16" s="17">
        <v>0</v>
      </c>
    </row>
    <row r="17" spans="15:45" ht="14.25" hidden="1" customHeight="1">
      <c r="AD17" s="330"/>
      <c r="AE17" s="330"/>
      <c r="AF17" s="330"/>
      <c r="AG17" s="331"/>
      <c r="AH17" s="1110"/>
      <c r="AI17" s="1109" t="s">
        <v>66</v>
      </c>
      <c r="AJ17" s="1110"/>
      <c r="AK17" s="1109" t="s">
        <v>66</v>
      </c>
      <c r="AS17" s="17">
        <v>0</v>
      </c>
    </row>
    <row r="18" spans="15:45" ht="14.25" hidden="1" customHeight="1">
      <c r="AD18" s="330"/>
      <c r="AE18" s="330"/>
      <c r="AF18" s="330"/>
      <c r="AG18" s="316" t="str">
        <f>AH17&amp;"-"&amp;AJ17</f>
        <v>-</v>
      </c>
      <c r="AH18" s="1109"/>
      <c r="AI18" s="1109"/>
      <c r="AJ18" s="1109"/>
      <c r="AK18" s="1109"/>
      <c r="AS18" s="17">
        <v>0</v>
      </c>
    </row>
    <row r="19" spans="15:45" ht="14.25" hidden="1" customHeight="1">
      <c r="AS19" s="17">
        <v>0</v>
      </c>
    </row>
    <row r="20" spans="15:45" ht="22.5" hidden="1" customHeight="1">
      <c r="O20" s="332" t="s">
        <v>418</v>
      </c>
      <c r="Z20" s="332"/>
      <c r="AB20" s="332"/>
      <c r="AH20" s="332"/>
      <c r="AJ20" s="332"/>
      <c r="AS20" s="37">
        <v>0</v>
      </c>
    </row>
    <row r="21" spans="15:45" ht="14.25" hidden="1" customHeight="1">
      <c r="AS21" s="37">
        <v>0</v>
      </c>
    </row>
    <row r="22" spans="15:45" ht="14.25" hidden="1" customHeight="1">
      <c r="O22" s="306" t="s">
        <v>419</v>
      </c>
      <c r="T22" s="37" t="s">
        <v>420</v>
      </c>
      <c r="AA22" s="126" t="s">
        <v>421</v>
      </c>
      <c r="AC22" s="126" t="s">
        <v>422</v>
      </c>
      <c r="AD22" s="37" t="s">
        <v>420</v>
      </c>
      <c r="AI22" s="126" t="s">
        <v>423</v>
      </c>
      <c r="AK22" s="126" t="s">
        <v>422</v>
      </c>
      <c r="AS22" s="37">
        <v>0</v>
      </c>
    </row>
    <row r="23" spans="15:45" ht="14.25" hidden="1" customHeight="1">
      <c r="AS23" s="17">
        <v>0</v>
      </c>
    </row>
    <row r="24" spans="15:45" ht="14.25" hidden="1" customHeight="1">
      <c r="AS24" s="17">
        <v>0</v>
      </c>
    </row>
    <row r="25" spans="15:45" ht="14.65" customHeight="1">
      <c r="Q25" s="333"/>
      <c r="R25" s="333"/>
      <c r="S25" s="334"/>
      <c r="T25" s="38"/>
      <c r="U25" s="38"/>
      <c r="AS25" s="17">
        <v>14</v>
      </c>
    </row>
    <row r="26" spans="15:45" ht="53.45" customHeight="1">
      <c r="Q26" s="333"/>
      <c r="R26" s="333"/>
      <c r="S26" s="10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093"/>
      <c r="U26" s="1093"/>
      <c r="V26" s="1093"/>
      <c r="W26" s="1093"/>
      <c r="X26" s="1093"/>
      <c r="Y26" s="1093"/>
      <c r="Z26" s="1093"/>
      <c r="AA26" s="1093"/>
      <c r="AB26" s="1093"/>
      <c r="AC26" s="1093"/>
      <c r="AD26" s="1093"/>
      <c r="AE26" s="1093"/>
      <c r="AF26" s="1093"/>
      <c r="AG26" s="1093"/>
      <c r="AH26" s="1093"/>
      <c r="AI26" s="1093"/>
      <c r="AJ26" s="1093"/>
      <c r="AS26" s="17">
        <v>51</v>
      </c>
    </row>
    <row r="27" spans="15:45" ht="14.65" customHeight="1">
      <c r="Q27" s="333"/>
      <c r="R27" s="333"/>
      <c r="S27" s="1066" t="str">
        <f>IF(org=0,"Не определено",org)</f>
        <v>ООО "ТВС"</v>
      </c>
      <c r="T27" s="1066"/>
      <c r="U27" s="1066"/>
      <c r="V27" s="1066"/>
      <c r="W27" s="1066"/>
      <c r="X27" s="1066"/>
      <c r="Y27" s="1066"/>
      <c r="Z27" s="1066"/>
      <c r="AA27" s="1066"/>
      <c r="AB27" s="1066"/>
      <c r="AC27" s="1066"/>
      <c r="AD27" s="1066"/>
      <c r="AE27" s="1066"/>
      <c r="AF27" s="1066"/>
      <c r="AG27" s="1066"/>
      <c r="AH27" s="1066"/>
      <c r="AI27" s="1066"/>
      <c r="AJ27" s="1066"/>
      <c r="AS27" s="17">
        <v>14</v>
      </c>
    </row>
    <row r="28" spans="15:45" ht="14.25" hidden="1" customHeight="1">
      <c r="Q28" s="333"/>
      <c r="R28" s="333"/>
      <c r="S28" s="334"/>
      <c r="T28" s="38"/>
      <c r="U28" s="38"/>
      <c r="V28" s="335"/>
      <c r="W28" s="335"/>
      <c r="X28" s="335"/>
      <c r="Y28" s="335"/>
      <c r="Z28" s="335"/>
      <c r="AA28" s="335"/>
      <c r="AB28" s="335"/>
      <c r="AC28" s="335"/>
      <c r="AD28" s="335"/>
      <c r="AE28" s="335"/>
      <c r="AF28" s="335"/>
      <c r="AG28" s="335"/>
      <c r="AH28" s="335"/>
      <c r="AI28" s="335"/>
      <c r="AJ28" s="335"/>
      <c r="AK28" s="335"/>
      <c r="AS28" s="17">
        <v>0</v>
      </c>
    </row>
    <row r="29" spans="15:45" ht="25.5" hidden="1" customHeight="1">
      <c r="S29" s="1103" t="s">
        <v>42</v>
      </c>
      <c r="T29" s="1103"/>
      <c r="U29" s="337"/>
      <c r="V29" s="1105" t="str">
        <f>IF(TITLE_NAME_OR_PR_CHANGE="",IF(TITLE_NAME_OR_PR="","",TITLE_NAME_OR_PR),TITLE_NAME_OR_PR_CHANGE)</f>
        <v/>
      </c>
      <c r="W29" s="1105"/>
      <c r="X29" s="1105"/>
      <c r="Y29" s="1105"/>
      <c r="Z29" s="1105"/>
      <c r="AA29" s="1105"/>
      <c r="AB29" s="1105"/>
      <c r="AD29" s="1105" t="str">
        <f>IF(TITLE_NAME_OR_PR_CHANGE="",IF(TITLE_NAME_OR_PR="","",TITLE_NAME_OR_PR),TITLE_NAME_OR_PR_CHANGE)</f>
        <v/>
      </c>
      <c r="AE29" s="1105"/>
      <c r="AF29" s="1105"/>
      <c r="AG29" s="1105"/>
      <c r="AH29" s="1105"/>
      <c r="AI29" s="1105"/>
      <c r="AJ29" s="1105"/>
      <c r="AS29" s="111">
        <v>0</v>
      </c>
    </row>
    <row r="30" spans="15:45" ht="18.75" hidden="1" customHeight="1">
      <c r="S30" s="1103" t="s">
        <v>424</v>
      </c>
      <c r="T30" s="1103"/>
      <c r="U30" s="337"/>
      <c r="V30" s="1104" t="str">
        <f>IF(TITLE_DATE_PR_CHANGE="",IF(TITLE_DATE_PR="","",TITLE_DATE_PR),TITLE_DATE_PR_CHANGE)</f>
        <v/>
      </c>
      <c r="W30" s="1104"/>
      <c r="X30" s="1104"/>
      <c r="Y30" s="1104"/>
      <c r="Z30" s="1104"/>
      <c r="AA30" s="1104"/>
      <c r="AB30" s="1104"/>
      <c r="AD30" s="1104" t="str">
        <f>IF(TITLE_DATE_PR_CHANGE="",IF(TITLE_DATE_PR="","",TITLE_DATE_PR),TITLE_DATE_PR_CHANGE)</f>
        <v/>
      </c>
      <c r="AE30" s="1104"/>
      <c r="AF30" s="1104"/>
      <c r="AG30" s="1104"/>
      <c r="AH30" s="1104"/>
      <c r="AI30" s="1104"/>
      <c r="AJ30" s="1104"/>
      <c r="AS30" s="111">
        <v>0</v>
      </c>
    </row>
    <row r="31" spans="15:45" ht="18.75" hidden="1" customHeight="1">
      <c r="S31" s="1103" t="s">
        <v>425</v>
      </c>
      <c r="T31" s="1103"/>
      <c r="U31" s="337"/>
      <c r="V31" s="1105" t="str">
        <f>IF(TITLE_NUMBER_PR_CHANGE="",IF(TITLE_NUMBER_PR="","",TITLE_NUMBER_PR),TITLE_NUMBER_PR_CHANGE)</f>
        <v/>
      </c>
      <c r="W31" s="1105"/>
      <c r="X31" s="1105"/>
      <c r="Y31" s="1105"/>
      <c r="Z31" s="1105"/>
      <c r="AA31" s="1105"/>
      <c r="AB31" s="1105"/>
      <c r="AD31" s="1105" t="str">
        <f>IF(TITLE_NUMBER_PR_CHANGE="",IF(TITLE_NUMBER_PR="","",TITLE_NUMBER_PR),TITLE_NUMBER_PR_CHANGE)</f>
        <v/>
      </c>
      <c r="AE31" s="1105"/>
      <c r="AF31" s="1105"/>
      <c r="AG31" s="1105"/>
      <c r="AH31" s="1105"/>
      <c r="AI31" s="1105"/>
      <c r="AJ31" s="1105"/>
      <c r="AS31" s="111">
        <v>0</v>
      </c>
    </row>
    <row r="32" spans="15:45" ht="18.75" hidden="1" customHeight="1">
      <c r="S32" s="1103" t="s">
        <v>43</v>
      </c>
      <c r="T32" s="1103"/>
      <c r="U32" s="337"/>
      <c r="V32" s="1105" t="str">
        <f>IF(TITLE_IST_PUB_CHANGE="",IF(TITLE_IST_PUB="","",TITLE_IST_PUB),TITLE_IST_PUB_CHANGE)</f>
        <v/>
      </c>
      <c r="W32" s="1105"/>
      <c r="X32" s="1105"/>
      <c r="Y32" s="1105"/>
      <c r="Z32" s="1105"/>
      <c r="AA32" s="1105"/>
      <c r="AB32" s="1105"/>
      <c r="AD32" s="1105" t="str">
        <f>IF(TITLE_IST_PUB_CHANGE="",IF(TITLE_IST_PUB="","",TITLE_IST_PUB),TITLE_IST_PUB_CHANGE)</f>
        <v/>
      </c>
      <c r="AE32" s="1105"/>
      <c r="AF32" s="1105"/>
      <c r="AG32" s="1105"/>
      <c r="AH32" s="1105"/>
      <c r="AI32" s="1105"/>
      <c r="AJ32" s="1105"/>
      <c r="AS32" s="111">
        <v>0</v>
      </c>
    </row>
    <row r="33" spans="1:45" ht="14.25" hidden="1" customHeight="1">
      <c r="Q33" s="333"/>
      <c r="R33" s="333"/>
      <c r="S33" s="334"/>
      <c r="T33" s="38"/>
      <c r="U33" s="38"/>
      <c r="V33" s="335"/>
      <c r="W33" s="335"/>
      <c r="X33" s="335"/>
      <c r="Y33" s="335"/>
      <c r="Z33" s="335"/>
      <c r="AA33" s="335"/>
      <c r="AB33" s="335"/>
      <c r="AC33" s="335"/>
      <c r="AD33" s="335"/>
      <c r="AE33" s="335"/>
      <c r="AF33" s="335"/>
      <c r="AG33" s="335"/>
      <c r="AH33" s="335"/>
      <c r="AI33" s="335"/>
      <c r="AJ33" s="335"/>
      <c r="AK33" s="335"/>
      <c r="AS33" s="17">
        <v>0</v>
      </c>
    </row>
    <row r="34" spans="1:45" ht="18.75" hidden="1" customHeight="1">
      <c r="S34" s="1103" t="s">
        <v>426</v>
      </c>
      <c r="T34" s="1103"/>
      <c r="U34" s="337"/>
      <c r="V34" s="1104" t="str">
        <f>IF(TITLE_DATE_PR_CHANGE="",IF(TITLE_DATE_PR="","",TITLE_DATE_PR),TITLE_DATE_PR_CHANGE)</f>
        <v/>
      </c>
      <c r="W34" s="1104"/>
      <c r="X34" s="1104"/>
      <c r="Y34" s="1104"/>
      <c r="Z34" s="1104"/>
      <c r="AA34" s="1104"/>
      <c r="AB34" s="1104"/>
      <c r="AD34" s="1104" t="str">
        <f>IF(TITLE_DATE_PR_CHANGE="",IF(TITLE_DATE_PR="","",TITLE_DATE_PR),TITLE_DATE_PR_CHANGE)</f>
        <v/>
      </c>
      <c r="AE34" s="1104"/>
      <c r="AF34" s="1104"/>
      <c r="AG34" s="1104"/>
      <c r="AH34" s="1104"/>
      <c r="AI34" s="1104"/>
      <c r="AJ34" s="1104"/>
      <c r="AS34" s="111">
        <v>0</v>
      </c>
    </row>
    <row r="35" spans="1:45" ht="25.5" hidden="1" customHeight="1">
      <c r="S35" s="1103" t="s">
        <v>427</v>
      </c>
      <c r="T35" s="1103"/>
      <c r="U35" s="337"/>
      <c r="V35" s="1105" t="str">
        <f>IF(TITLE_NUMBER_PR_CHANGE="",IF(TITLE_NUMBER_PR="","",TITLE_NUMBER_PR),TITLE_NUMBER_PR_CHANGE)</f>
        <v/>
      </c>
      <c r="W35" s="1105"/>
      <c r="X35" s="1105"/>
      <c r="Y35" s="1105"/>
      <c r="Z35" s="1105"/>
      <c r="AA35" s="1105"/>
      <c r="AB35" s="1105"/>
      <c r="AD35" s="1105" t="str">
        <f>IF(TITLE_NUMBER_PR_CHANGE="",IF(TITLE_NUMBER_PR="","",TITLE_NUMBER_PR),TITLE_NUMBER_PR_CHANGE)</f>
        <v/>
      </c>
      <c r="AE35" s="1105"/>
      <c r="AF35" s="1105"/>
      <c r="AG35" s="1105"/>
      <c r="AH35" s="1105"/>
      <c r="AI35" s="1105"/>
      <c r="AJ35" s="1105"/>
      <c r="AS35" s="111">
        <v>0</v>
      </c>
    </row>
    <row r="36" spans="1:45" ht="0" hidden="1" customHeight="1">
      <c r="AC36" s="75" t="s">
        <v>428</v>
      </c>
      <c r="AK36" s="75" t="s">
        <v>428</v>
      </c>
      <c r="AS36" s="111">
        <v>0</v>
      </c>
    </row>
    <row r="37" spans="1:45" ht="14.65" customHeight="1">
      <c r="Q37" s="333"/>
      <c r="R37" s="333"/>
      <c r="S37" s="334"/>
      <c r="T37" s="38"/>
      <c r="U37" s="339"/>
      <c r="V37" s="1123"/>
      <c r="W37" s="1123"/>
      <c r="X37" s="1123"/>
      <c r="Y37" s="1123"/>
      <c r="Z37" s="1123"/>
      <c r="AA37" s="1123"/>
      <c r="AB37" s="1123"/>
      <c r="AC37" s="1123"/>
      <c r="AD37" s="1123"/>
      <c r="AE37" s="1123"/>
      <c r="AF37" s="1123"/>
      <c r="AG37" s="1123"/>
      <c r="AH37" s="1123"/>
      <c r="AI37" s="1123"/>
      <c r="AJ37" s="1123"/>
      <c r="AK37" s="1123"/>
      <c r="AS37" s="17">
        <v>14</v>
      </c>
    </row>
    <row r="38" spans="1:45" ht="14.65" customHeight="1">
      <c r="Q38" s="333"/>
      <c r="R38" s="333"/>
      <c r="S38" s="995" t="s">
        <v>301</v>
      </c>
      <c r="T38" s="995"/>
      <c r="U38" s="995"/>
      <c r="V38" s="995"/>
      <c r="W38" s="995"/>
      <c r="X38" s="995"/>
      <c r="Y38" s="995"/>
      <c r="Z38" s="995"/>
      <c r="AA38" s="995"/>
      <c r="AB38" s="995"/>
      <c r="AC38" s="995"/>
      <c r="AD38" s="995"/>
      <c r="AE38" s="995"/>
      <c r="AF38" s="995"/>
      <c r="AG38" s="995"/>
      <c r="AH38" s="995"/>
      <c r="AI38" s="995"/>
      <c r="AJ38" s="995"/>
      <c r="AK38" s="995"/>
      <c r="AL38" s="995"/>
      <c r="AM38" s="995" t="s">
        <v>302</v>
      </c>
      <c r="AS38" s="17">
        <v>14</v>
      </c>
    </row>
    <row r="39" spans="1:45" ht="14.65" customHeight="1">
      <c r="Q39" s="333"/>
      <c r="R39" s="333"/>
      <c r="S39" s="1124" t="s">
        <v>88</v>
      </c>
      <c r="T39" s="1073" t="s">
        <v>429</v>
      </c>
      <c r="U39" s="341"/>
      <c r="V39" s="1125" t="s">
        <v>430</v>
      </c>
      <c r="W39" s="1126"/>
      <c r="X39" s="1126"/>
      <c r="Y39" s="1126"/>
      <c r="Z39" s="1126"/>
      <c r="AA39" s="1126"/>
      <c r="AB39" s="1127"/>
      <c r="AC39" s="1128" t="s">
        <v>431</v>
      </c>
      <c r="AD39" s="1125" t="s">
        <v>430</v>
      </c>
      <c r="AE39" s="1126"/>
      <c r="AF39" s="1126"/>
      <c r="AG39" s="1126"/>
      <c r="AH39" s="1126"/>
      <c r="AI39" s="1126"/>
      <c r="AJ39" s="1127"/>
      <c r="AK39" s="1128" t="s">
        <v>432</v>
      </c>
      <c r="AL39" s="1131" t="s">
        <v>433</v>
      </c>
      <c r="AM39" s="995"/>
      <c r="AS39" s="17">
        <v>14</v>
      </c>
    </row>
    <row r="40" spans="1:45" ht="35.65" customHeight="1">
      <c r="Q40" s="333"/>
      <c r="R40" s="333"/>
      <c r="S40" s="1124"/>
      <c r="T40" s="1073"/>
      <c r="U40" s="343"/>
      <c r="V40" s="1046" t="s">
        <v>434</v>
      </c>
      <c r="W40" s="1120"/>
      <c r="X40" s="977" t="s">
        <v>436</v>
      </c>
      <c r="Y40" s="976"/>
      <c r="Z40" s="977" t="s">
        <v>437</v>
      </c>
      <c r="AA40" s="982"/>
      <c r="AB40" s="976"/>
      <c r="AC40" s="1129"/>
      <c r="AD40" s="1046" t="s">
        <v>451</v>
      </c>
      <c r="AE40" s="1120"/>
      <c r="AF40" s="977" t="s">
        <v>436</v>
      </c>
      <c r="AG40" s="976"/>
      <c r="AH40" s="977" t="s">
        <v>437</v>
      </c>
      <c r="AI40" s="982"/>
      <c r="AJ40" s="976"/>
      <c r="AK40" s="1129"/>
      <c r="AL40" s="1132"/>
      <c r="AM40" s="995"/>
      <c r="AS40" s="17">
        <v>34</v>
      </c>
    </row>
    <row r="41" spans="1:45" ht="35.65" customHeight="1">
      <c r="B41" s="126" t="s">
        <v>138</v>
      </c>
      <c r="C41" s="126" t="s">
        <v>139</v>
      </c>
      <c r="D41" s="126" t="s">
        <v>140</v>
      </c>
      <c r="E41" s="306" t="s">
        <v>438</v>
      </c>
      <c r="F41" s="306" t="s">
        <v>439</v>
      </c>
      <c r="G41" s="306" t="s">
        <v>440</v>
      </c>
      <c r="H41" s="306" t="s">
        <v>441</v>
      </c>
      <c r="I41" s="306" t="s">
        <v>442</v>
      </c>
      <c r="J41" s="306" t="s">
        <v>443</v>
      </c>
      <c r="K41" s="306" t="s">
        <v>444</v>
      </c>
      <c r="L41" s="306" t="s">
        <v>419</v>
      </c>
      <c r="Q41" s="333"/>
      <c r="R41" s="333"/>
      <c r="S41" s="1124"/>
      <c r="T41" s="1073"/>
      <c r="U41" s="344"/>
      <c r="V41" s="1098"/>
      <c r="W41" s="1121"/>
      <c r="X41" s="134" t="s">
        <v>445</v>
      </c>
      <c r="Y41" s="134" t="s">
        <v>446</v>
      </c>
      <c r="Z41" s="134" t="s">
        <v>447</v>
      </c>
      <c r="AA41" s="1078" t="s">
        <v>448</v>
      </c>
      <c r="AB41" s="1092"/>
      <c r="AC41" s="1130"/>
      <c r="AD41" s="1098"/>
      <c r="AE41" s="1121"/>
      <c r="AF41" s="134" t="s">
        <v>445</v>
      </c>
      <c r="AG41" s="134" t="s">
        <v>446</v>
      </c>
      <c r="AH41" s="134" t="s">
        <v>447</v>
      </c>
      <c r="AI41" s="1078" t="s">
        <v>448</v>
      </c>
      <c r="AJ41" s="1092"/>
      <c r="AK41" s="1130"/>
      <c r="AL41" s="1133"/>
      <c r="AM41" s="995"/>
      <c r="AS41" s="17">
        <v>34</v>
      </c>
    </row>
    <row r="42" spans="1:45" ht="11.25" hidden="1" customHeight="1">
      <c r="Q42" s="347"/>
      <c r="R42" s="348">
        <v>1</v>
      </c>
      <c r="S42" s="349" t="s">
        <v>110</v>
      </c>
      <c r="T42" s="350" t="s">
        <v>111</v>
      </c>
      <c r="U42" s="351" t="str">
        <f ca="1">OFFSET(U42,0,-1)</f>
        <v>2</v>
      </c>
      <c r="V42" s="352">
        <f ca="1">OFFSET(V42,0,-1)+1</f>
        <v>3</v>
      </c>
      <c r="W42" s="352"/>
      <c r="X42" s="352">
        <f ca="1">OFFSET(X42,0,-1)+1</f>
        <v>1</v>
      </c>
      <c r="Y42" s="352">
        <f ca="1">OFFSET(Y42,0,-1)+1</f>
        <v>2</v>
      </c>
      <c r="Z42" s="352">
        <f ca="1">OFFSET(Z42,0,-1)+1</f>
        <v>3</v>
      </c>
      <c r="AA42" s="1122">
        <f ca="1">OFFSET(AA42,0,-1)+1</f>
        <v>4</v>
      </c>
      <c r="AB42" s="1122"/>
      <c r="AC42" s="352">
        <f ca="1">OFFSET(AC42,0,-2)+1</f>
        <v>5</v>
      </c>
      <c r="AD42" s="352">
        <f ca="1">OFFSET(AD42,0,-1)+1</f>
        <v>6</v>
      </c>
      <c r="AE42" s="352"/>
      <c r="AF42" s="352">
        <f ca="1">OFFSET(AF42,0,-1)+1</f>
        <v>1</v>
      </c>
      <c r="AG42" s="352">
        <f ca="1">OFFSET(AG42,0,-1)+1</f>
        <v>2</v>
      </c>
      <c r="AH42" s="352">
        <f ca="1">OFFSET(AH42,0,-1)+1</f>
        <v>3</v>
      </c>
      <c r="AI42" s="1122">
        <f ca="1">OFFSET(AI42,0,-1)+1</f>
        <v>4</v>
      </c>
      <c r="AJ42" s="1122"/>
      <c r="AK42" s="352">
        <f ca="1">OFFSET(AK42,0,-2)+1</f>
        <v>5</v>
      </c>
      <c r="AL42" s="351">
        <f ca="1">OFFSET(AL42,0,-1)</f>
        <v>5</v>
      </c>
      <c r="AM42" s="352">
        <f ca="1">OFFSET(AM42,0,-1)+1</f>
        <v>6</v>
      </c>
      <c r="AS42" s="258">
        <v>0</v>
      </c>
    </row>
    <row r="43" spans="1:45" ht="21.95" customHeight="1">
      <c r="A43" s="353" t="s">
        <v>189</v>
      </c>
      <c r="E43" s="1111">
        <v>1</v>
      </c>
      <c r="R43" s="294"/>
      <c r="S43" s="295">
        <f>INDEX(PT_DIFFERENTIATION_NUM_NTAR,MATCH(A43,PT_DIFFERENTIATION_NTAR_ID,0))</f>
        <v>0</v>
      </c>
      <c r="T43" s="296" t="s">
        <v>126</v>
      </c>
      <c r="U43" s="297"/>
      <c r="V43" s="1106"/>
      <c r="W43" s="1107"/>
      <c r="X43" s="1107"/>
      <c r="Y43" s="1107"/>
      <c r="Z43" s="1107"/>
      <c r="AA43" s="1107"/>
      <c r="AB43" s="1107"/>
      <c r="AC43" s="1108"/>
      <c r="AD43" s="1106" t="str">
        <f>INDEX(PT_DIFFERENTIATION_NTAR,MATCH(A43,PT_DIFFERENTIATION_NTAR_ID,0))</f>
        <v/>
      </c>
      <c r="AE43" s="1107"/>
      <c r="AF43" s="1107"/>
      <c r="AG43" s="1107"/>
      <c r="AH43" s="1107"/>
      <c r="AI43" s="1107"/>
      <c r="AJ43" s="1107"/>
      <c r="AK43" s="1107"/>
      <c r="AL43" s="1108"/>
      <c r="AM43" s="2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7" t="str">
        <f t="shared" ref="AP43:AP57" si="1">IF(T43="","",T43)</f>
        <v>Наименование тарифа</v>
      </c>
      <c r="AS43" s="17">
        <v>21</v>
      </c>
    </row>
    <row r="44" spans="1:45" ht="21.95" customHeight="1">
      <c r="A44" s="353" t="s">
        <v>189</v>
      </c>
      <c r="B44" s="353" t="s">
        <v>190</v>
      </c>
      <c r="E44" s="1112"/>
      <c r="F44" s="1111">
        <v>1</v>
      </c>
      <c r="Q44" s="300"/>
      <c r="R44" s="301"/>
      <c r="S44" s="295" t="str">
        <f>INDEX(PT_DIFFERENTIATION_NUM_TER,MATCH(B44,PT_DIFFERENTIATION_TER_ID,0))</f>
        <v>.</v>
      </c>
      <c r="T44" s="302" t="s">
        <v>398</v>
      </c>
      <c r="U44" s="297"/>
      <c r="V44" s="1106"/>
      <c r="W44" s="1107"/>
      <c r="X44" s="1107"/>
      <c r="Y44" s="1107"/>
      <c r="Z44" s="1107"/>
      <c r="AA44" s="1107"/>
      <c r="AB44" s="1107"/>
      <c r="AC44" s="1108"/>
      <c r="AD44" s="1106" t="str">
        <f>INDEX(PT_DIFFERENTIATION_TER,MATCH(B44,PT_DIFFERENTIATION_TER_ID,0))</f>
        <v/>
      </c>
      <c r="AE44" s="1107"/>
      <c r="AF44" s="1107"/>
      <c r="AG44" s="1107"/>
      <c r="AH44" s="1107"/>
      <c r="AI44" s="1107"/>
      <c r="AJ44" s="1107"/>
      <c r="AK44" s="1107"/>
      <c r="AL44" s="1108"/>
      <c r="AM44" s="299" t="s">
        <v>399</v>
      </c>
      <c r="AP44" s="87" t="str">
        <f t="shared" si="1"/>
        <v>Территория действия тарифа</v>
      </c>
      <c r="AS44" s="17">
        <v>21</v>
      </c>
    </row>
    <row r="45" spans="1:45" ht="24" customHeight="1">
      <c r="A45" s="353" t="s">
        <v>189</v>
      </c>
      <c r="B45" s="353" t="s">
        <v>190</v>
      </c>
      <c r="C45" s="353" t="s">
        <v>191</v>
      </c>
      <c r="E45" s="1112"/>
      <c r="F45" s="1112"/>
      <c r="G45" s="1111">
        <v>1</v>
      </c>
      <c r="Q45" s="300"/>
      <c r="R45" s="301"/>
      <c r="S45" s="295" t="str">
        <f>INDEX(PT_DIFFERENTIATION_NUM_CS,MATCH(C45,PT_DIFFERENTIATION_CS_ID,0))</f>
        <v>..</v>
      </c>
      <c r="T45" s="303" t="s">
        <v>400</v>
      </c>
      <c r="U45" s="297"/>
      <c r="V45" s="1106"/>
      <c r="W45" s="1107"/>
      <c r="X45" s="1107"/>
      <c r="Y45" s="1107"/>
      <c r="Z45" s="1107"/>
      <c r="AA45" s="1107"/>
      <c r="AB45" s="1107"/>
      <c r="AC45" s="1108"/>
      <c r="AD45" s="1106" t="str">
        <f>INDEX(PT_DIFFERENTIATION_CS,MATCH(C45,PT_DIFFERENTIATION_CS_ID,0))</f>
        <v/>
      </c>
      <c r="AE45" s="1107"/>
      <c r="AF45" s="1107"/>
      <c r="AG45" s="1107"/>
      <c r="AH45" s="1107"/>
      <c r="AI45" s="1107"/>
      <c r="AJ45" s="1107"/>
      <c r="AK45" s="1107"/>
      <c r="AL45" s="1108"/>
      <c r="AM45" s="299" t="s">
        <v>401</v>
      </c>
      <c r="AP45" s="87" t="str">
        <f t="shared" si="1"/>
        <v xml:space="preserve">Наименование системы теплоснабжения </v>
      </c>
      <c r="AS45" s="17">
        <v>23</v>
      </c>
    </row>
    <row r="46" spans="1:45" ht="21.95" customHeight="1">
      <c r="A46" s="353" t="s">
        <v>189</v>
      </c>
      <c r="B46" s="353" t="s">
        <v>190</v>
      </c>
      <c r="C46" s="353" t="s">
        <v>191</v>
      </c>
      <c r="D46" s="353" t="s">
        <v>192</v>
      </c>
      <c r="E46" s="1112"/>
      <c r="F46" s="1112"/>
      <c r="G46" s="1112"/>
      <c r="H46" s="1111">
        <v>1</v>
      </c>
      <c r="Q46" s="300"/>
      <c r="R46" s="301"/>
      <c r="S46" s="295" t="str">
        <f>INDEX(PT_DIFFERENTIATION_NUM_IST_TE,MATCH(D46,PT_DIFFERENTIATION_IST_TE_ID,0))</f>
        <v>...</v>
      </c>
      <c r="T46" s="304" t="s">
        <v>402</v>
      </c>
      <c r="U46" s="297"/>
      <c r="V46" s="1106"/>
      <c r="W46" s="1107"/>
      <c r="X46" s="1107"/>
      <c r="Y46" s="1107"/>
      <c r="Z46" s="1107"/>
      <c r="AA46" s="1107"/>
      <c r="AB46" s="1107"/>
      <c r="AC46" s="1108"/>
      <c r="AD46" s="1106" t="str">
        <f>INDEX(PT_DIFFERENTIATION_IST_TE,MATCH(D46,PT_DIFFERENTIATION_IST_TE_ID,0))</f>
        <v/>
      </c>
      <c r="AE46" s="1107"/>
      <c r="AF46" s="1107"/>
      <c r="AG46" s="1107"/>
      <c r="AH46" s="1107"/>
      <c r="AI46" s="1107"/>
      <c r="AJ46" s="1107"/>
      <c r="AK46" s="1107"/>
      <c r="AL46" s="1108"/>
      <c r="AM46" s="299" t="s">
        <v>403</v>
      </c>
      <c r="AP46" s="87" t="str">
        <f t="shared" si="1"/>
        <v xml:space="preserve">Источник тепловой энергии  </v>
      </c>
      <c r="AS46" s="17">
        <v>21</v>
      </c>
    </row>
    <row r="47" spans="1:45" ht="0" hidden="1" customHeight="1">
      <c r="A47" s="72" t="s">
        <v>189</v>
      </c>
      <c r="B47" s="72" t="s">
        <v>190</v>
      </c>
      <c r="C47" s="72" t="s">
        <v>191</v>
      </c>
      <c r="D47" s="72" t="s">
        <v>192</v>
      </c>
      <c r="E47" s="1112"/>
      <c r="F47" s="1112"/>
      <c r="G47" s="1112"/>
      <c r="H47" s="1112"/>
      <c r="I47" s="1113" t="str">
        <f>S46&amp;".1"</f>
        <v>....1</v>
      </c>
      <c r="L47" s="371" t="s">
        <v>404</v>
      </c>
      <c r="P47" s="1115">
        <v>1</v>
      </c>
      <c r="R47" s="307"/>
      <c r="S47" s="193"/>
      <c r="T47" s="363"/>
      <c r="U47" s="364"/>
      <c r="V47" s="1142"/>
      <c r="W47" s="1143"/>
      <c r="X47" s="1143"/>
      <c r="Y47" s="1143"/>
      <c r="Z47" s="1143"/>
      <c r="AA47" s="1143"/>
      <c r="AB47" s="1143"/>
      <c r="AC47" s="1144"/>
      <c r="AD47" s="1142"/>
      <c r="AE47" s="1143"/>
      <c r="AF47" s="1143"/>
      <c r="AG47" s="1143"/>
      <c r="AH47" s="1143"/>
      <c r="AI47" s="1143"/>
      <c r="AJ47" s="1143"/>
      <c r="AK47" s="1143"/>
      <c r="AL47" s="1144"/>
      <c r="AM47" s="366"/>
      <c r="AP47" s="87" t="str">
        <f t="shared" si="1"/>
        <v/>
      </c>
      <c r="AS47" s="75">
        <v>0</v>
      </c>
    </row>
    <row r="48" spans="1:45" ht="21.95" customHeight="1">
      <c r="A48" s="353" t="s">
        <v>189</v>
      </c>
      <c r="B48" s="353" t="s">
        <v>190</v>
      </c>
      <c r="C48" s="353" t="s">
        <v>191</v>
      </c>
      <c r="D48" s="353" t="s">
        <v>192</v>
      </c>
      <c r="E48" s="1112"/>
      <c r="F48" s="1112"/>
      <c r="G48" s="1112"/>
      <c r="H48" s="1112"/>
      <c r="I48" s="1114"/>
      <c r="J48" s="1113" t="str">
        <f>S46&amp;".1"</f>
        <v>....1</v>
      </c>
      <c r="L48" s="306" t="s">
        <v>407</v>
      </c>
      <c r="P48" s="964"/>
      <c r="Q48" s="1115">
        <v>1</v>
      </c>
      <c r="R48" s="309"/>
      <c r="S48" s="295" t="str">
        <f>$J48</f>
        <v>....1</v>
      </c>
      <c r="T48" s="310" t="s">
        <v>408</v>
      </c>
      <c r="U48" s="297"/>
      <c r="V48" s="1100"/>
      <c r="W48" s="1101"/>
      <c r="X48" s="1101"/>
      <c r="Y48" s="1101"/>
      <c r="Z48" s="1101"/>
      <c r="AA48" s="1101"/>
      <c r="AB48" s="1101"/>
      <c r="AC48" s="1102"/>
      <c r="AD48" s="1100"/>
      <c r="AE48" s="1101"/>
      <c r="AF48" s="1101"/>
      <c r="AG48" s="1101"/>
      <c r="AH48" s="1101"/>
      <c r="AI48" s="1101"/>
      <c r="AJ48" s="1101"/>
      <c r="AK48" s="1101"/>
      <c r="AL48" s="1102"/>
      <c r="AM48" s="299" t="s">
        <v>409</v>
      </c>
      <c r="AP48" s="87" t="str">
        <f t="shared" si="1"/>
        <v>Группа потребителей</v>
      </c>
      <c r="AS48" s="17">
        <v>21</v>
      </c>
    </row>
    <row r="49" spans="1:45" ht="21.95" customHeight="1">
      <c r="A49" s="353" t="s">
        <v>189</v>
      </c>
      <c r="B49" s="353" t="s">
        <v>190</v>
      </c>
      <c r="C49" s="353" t="s">
        <v>191</v>
      </c>
      <c r="D49" s="353" t="s">
        <v>192</v>
      </c>
      <c r="E49" s="1112"/>
      <c r="F49" s="1112"/>
      <c r="G49" s="1112"/>
      <c r="H49" s="1112"/>
      <c r="I49" s="1114"/>
      <c r="J49" s="1114"/>
      <c r="K49" s="1113" t="str">
        <f>J48&amp;".1"</f>
        <v>....1.1</v>
      </c>
      <c r="L49" s="306" t="s">
        <v>410</v>
      </c>
      <c r="P49" s="964"/>
      <c r="Q49" s="964"/>
      <c r="R49" s="309">
        <v>1</v>
      </c>
      <c r="S49" s="295" t="str">
        <f>$K49</f>
        <v>....1.1</v>
      </c>
      <c r="T49" s="311"/>
      <c r="U49" s="297"/>
      <c r="V49" s="312"/>
      <c r="W49" s="313"/>
      <c r="X49" s="312"/>
      <c r="Y49" s="314"/>
      <c r="Z49" s="1116"/>
      <c r="AA49" s="1004" t="s">
        <v>66</v>
      </c>
      <c r="AB49" s="1116"/>
      <c r="AC49" s="1004" t="s">
        <v>66</v>
      </c>
      <c r="AD49" s="312"/>
      <c r="AE49" s="313"/>
      <c r="AF49" s="312"/>
      <c r="AG49" s="314"/>
      <c r="AH49" s="1116"/>
      <c r="AI49" s="1004" t="s">
        <v>66</v>
      </c>
      <c r="AJ49" s="1118"/>
      <c r="AK49" s="1004" t="s">
        <v>66</v>
      </c>
      <c r="AL49" s="354"/>
      <c r="AM49" s="1134" t="s">
        <v>452</v>
      </c>
      <c r="AN49" s="75" t="e">
        <f ca="1">STRCHECKDATE(V50:AL50)</f>
        <v>#NAME?</v>
      </c>
      <c r="AP49" s="87" t="str">
        <f t="shared" si="1"/>
        <v/>
      </c>
      <c r="AS49" s="17">
        <v>21</v>
      </c>
    </row>
    <row r="50" spans="1:45" ht="0" hidden="1" customHeight="1">
      <c r="A50" s="353" t="s">
        <v>189</v>
      </c>
      <c r="B50" s="353" t="s">
        <v>190</v>
      </c>
      <c r="C50" s="353" t="s">
        <v>191</v>
      </c>
      <c r="D50" s="353" t="s">
        <v>192</v>
      </c>
      <c r="E50" s="1112"/>
      <c r="F50" s="1112"/>
      <c r="G50" s="1112"/>
      <c r="H50" s="1112"/>
      <c r="I50" s="1114"/>
      <c r="J50" s="1114"/>
      <c r="K50" s="1113"/>
      <c r="P50" s="964"/>
      <c r="Q50" s="964"/>
      <c r="R50" s="309"/>
      <c r="S50" s="278"/>
      <c r="T50" s="297"/>
      <c r="U50" s="297"/>
      <c r="V50" s="313"/>
      <c r="W50" s="313"/>
      <c r="X50" s="313"/>
      <c r="Y50" s="316" t="str">
        <f>Z49&amp;"-"&amp;AB49</f>
        <v>-</v>
      </c>
      <c r="Z50" s="1117"/>
      <c r="AA50" s="1004"/>
      <c r="AB50" s="1117"/>
      <c r="AC50" s="1004"/>
      <c r="AD50" s="313"/>
      <c r="AE50" s="313"/>
      <c r="AF50" s="313"/>
      <c r="AG50" s="316" t="str">
        <f>AH49&amp;"-"&amp;AJ49</f>
        <v>-</v>
      </c>
      <c r="AH50" s="1117"/>
      <c r="AI50" s="1004"/>
      <c r="AJ50" s="1119"/>
      <c r="AK50" s="1004"/>
      <c r="AL50" s="355"/>
      <c r="AM50" s="1135"/>
      <c r="AP50" s="87" t="str">
        <f t="shared" si="1"/>
        <v/>
      </c>
      <c r="AS50" s="17">
        <v>0</v>
      </c>
    </row>
    <row r="51" spans="1:45" ht="11.45" customHeight="1">
      <c r="A51" s="353" t="s">
        <v>189</v>
      </c>
      <c r="B51" s="353" t="s">
        <v>190</v>
      </c>
      <c r="C51" s="353" t="s">
        <v>191</v>
      </c>
      <c r="D51" s="353" t="s">
        <v>192</v>
      </c>
      <c r="E51" s="1112"/>
      <c r="F51" s="1112"/>
      <c r="G51" s="1112"/>
      <c r="H51" s="1112"/>
      <c r="I51" s="1114"/>
      <c r="J51" s="1113"/>
      <c r="P51" s="964"/>
      <c r="Q51" s="964"/>
      <c r="R51" s="307"/>
      <c r="S51" s="318"/>
      <c r="T51" s="321" t="s">
        <v>412</v>
      </c>
      <c r="U51" s="117"/>
      <c r="V51" s="117"/>
      <c r="W51" s="117"/>
      <c r="X51" s="117"/>
      <c r="Y51" s="117"/>
      <c r="Z51" s="117"/>
      <c r="AA51" s="117"/>
      <c r="AB51" s="117"/>
      <c r="AC51" s="117"/>
      <c r="AD51" s="117"/>
      <c r="AE51" s="117"/>
      <c r="AF51" s="117"/>
      <c r="AG51" s="117"/>
      <c r="AH51" s="117"/>
      <c r="AI51" s="117"/>
      <c r="AJ51" s="117"/>
      <c r="AK51" s="117"/>
      <c r="AL51" s="320"/>
      <c r="AM51" s="1136"/>
      <c r="AP51" s="87" t="str">
        <f t="shared" si="1"/>
        <v>Добавить вид теплоносителя (параметры теплоносителя)</v>
      </c>
      <c r="AS51" s="17">
        <v>11</v>
      </c>
    </row>
    <row r="52" spans="1:45" ht="11.45" customHeight="1">
      <c r="A52" s="353" t="s">
        <v>189</v>
      </c>
      <c r="B52" s="353" t="s">
        <v>190</v>
      </c>
      <c r="C52" s="353" t="s">
        <v>191</v>
      </c>
      <c r="D52" s="353" t="s">
        <v>192</v>
      </c>
      <c r="E52" s="1112"/>
      <c r="F52" s="1112"/>
      <c r="G52" s="1112"/>
      <c r="H52" s="1112"/>
      <c r="I52" s="1113"/>
      <c r="P52" s="964"/>
      <c r="R52" s="307"/>
      <c r="S52" s="318"/>
      <c r="T52" s="324" t="s">
        <v>413</v>
      </c>
      <c r="U52" s="117"/>
      <c r="V52" s="117"/>
      <c r="W52" s="117"/>
      <c r="X52" s="117"/>
      <c r="Y52" s="117"/>
      <c r="Z52" s="117"/>
      <c r="AA52" s="117"/>
      <c r="AB52" s="117"/>
      <c r="AC52" s="322"/>
      <c r="AD52" s="117"/>
      <c r="AE52" s="117"/>
      <c r="AF52" s="117"/>
      <c r="AG52" s="117"/>
      <c r="AH52" s="117"/>
      <c r="AI52" s="117"/>
      <c r="AJ52" s="117"/>
      <c r="AK52" s="322"/>
      <c r="AL52" s="117"/>
      <c r="AM52" s="323"/>
      <c r="AP52" s="87" t="str">
        <f t="shared" si="1"/>
        <v>Добавить группу потребителей</v>
      </c>
      <c r="AS52" s="17">
        <v>11</v>
      </c>
    </row>
    <row r="53" spans="1:45" ht="0" hidden="1" customHeight="1">
      <c r="A53" s="353" t="s">
        <v>189</v>
      </c>
      <c r="B53" s="353" t="s">
        <v>190</v>
      </c>
      <c r="C53" s="353" t="s">
        <v>191</v>
      </c>
      <c r="D53" s="353" t="s">
        <v>192</v>
      </c>
      <c r="E53" s="1112"/>
      <c r="F53" s="1112"/>
      <c r="G53" s="1112"/>
      <c r="H53" s="1111"/>
      <c r="R53" s="294"/>
      <c r="S53" s="367"/>
      <c r="T53" s="368"/>
      <c r="U53" s="369"/>
      <c r="V53" s="369"/>
      <c r="W53" s="369"/>
      <c r="X53" s="369"/>
      <c r="Y53" s="369"/>
      <c r="Z53" s="369"/>
      <c r="AA53" s="369"/>
      <c r="AB53" s="369"/>
      <c r="AC53" s="369"/>
      <c r="AD53" s="369"/>
      <c r="AE53" s="369"/>
      <c r="AF53" s="369"/>
      <c r="AG53" s="369"/>
      <c r="AH53" s="369"/>
      <c r="AI53" s="369"/>
      <c r="AJ53" s="369"/>
      <c r="AK53" s="369"/>
      <c r="AL53" s="369"/>
      <c r="AM53" s="370"/>
      <c r="AP53" s="87" t="str">
        <f t="shared" si="1"/>
        <v/>
      </c>
      <c r="AS53" s="17">
        <v>0</v>
      </c>
    </row>
    <row r="54" spans="1:45" ht="0" hidden="1" customHeight="1">
      <c r="A54" s="72" t="s">
        <v>189</v>
      </c>
      <c r="B54" s="72" t="s">
        <v>190</v>
      </c>
      <c r="C54" s="72" t="s">
        <v>191</v>
      </c>
      <c r="E54" s="1112"/>
      <c r="F54" s="1112"/>
      <c r="G54" s="1111"/>
      <c r="T54" s="329" t="s">
        <v>415</v>
      </c>
      <c r="AP54" s="87" t="str">
        <f t="shared" si="1"/>
        <v>Добавить источник для дифференциации</v>
      </c>
      <c r="AS54" s="75">
        <v>0</v>
      </c>
    </row>
    <row r="55" spans="1:45" ht="0" hidden="1" customHeight="1">
      <c r="A55" s="72" t="s">
        <v>189</v>
      </c>
      <c r="B55" s="72" t="s">
        <v>190</v>
      </c>
      <c r="E55" s="1112"/>
      <c r="F55" s="1111"/>
      <c r="T55" s="329" t="s">
        <v>416</v>
      </c>
      <c r="AP55" s="87" t="str">
        <f t="shared" si="1"/>
        <v>Добавить централизованную систему для дифференциации</v>
      </c>
      <c r="AS55" s="75">
        <v>0</v>
      </c>
    </row>
    <row r="56" spans="1:45" ht="0" hidden="1" customHeight="1">
      <c r="A56" s="72" t="s">
        <v>189</v>
      </c>
      <c r="E56" s="1111"/>
      <c r="T56" s="329" t="s">
        <v>417</v>
      </c>
      <c r="AP56" s="87" t="str">
        <f t="shared" si="1"/>
        <v>Добавить территорию для дифференциации</v>
      </c>
      <c r="AS56" s="75">
        <v>0</v>
      </c>
    </row>
    <row r="57" spans="1:45" ht="4.1500000000000004" customHeight="1">
      <c r="T57" s="329" t="s">
        <v>449</v>
      </c>
      <c r="AP57" s="87" t="str">
        <f t="shared" si="1"/>
        <v>Добавить наименование тарифа</v>
      </c>
      <c r="AS57" s="75">
        <v>4</v>
      </c>
    </row>
    <row r="58" spans="1:45" ht="11.45" customHeight="1">
      <c r="AS58" s="17">
        <v>11</v>
      </c>
    </row>
    <row r="59" spans="1:45" ht="14.65" customHeight="1">
      <c r="T59" s="964"/>
      <c r="U59" s="964"/>
      <c r="V59" s="964"/>
      <c r="W59" s="964"/>
      <c r="X59" s="964"/>
      <c r="Y59" s="964"/>
      <c r="Z59" s="964"/>
      <c r="AA59" s="964"/>
      <c r="AB59" s="964"/>
      <c r="AC59" s="964"/>
      <c r="AD59" s="964"/>
      <c r="AE59" s="964"/>
      <c r="AF59" s="964"/>
      <c r="AG59" s="964"/>
      <c r="AH59" s="964"/>
      <c r="AI59" s="964"/>
      <c r="AJ59" s="964"/>
      <c r="AK59" s="964"/>
      <c r="AL59" s="964"/>
      <c r="AM59" s="964"/>
      <c r="AS59" s="17">
        <v>14</v>
      </c>
    </row>
    <row r="60" spans="1:45" ht="14.65" customHeight="1">
      <c r="T60" s="964"/>
      <c r="U60" s="964"/>
      <c r="V60" s="964"/>
      <c r="W60" s="964"/>
      <c r="X60" s="964"/>
      <c r="Y60" s="964"/>
      <c r="Z60" s="964"/>
      <c r="AA60" s="964"/>
      <c r="AB60" s="964"/>
      <c r="AC60" s="964"/>
      <c r="AD60" s="964"/>
      <c r="AE60" s="964"/>
      <c r="AF60" s="964"/>
      <c r="AG60" s="964"/>
      <c r="AH60" s="964"/>
      <c r="AI60" s="964"/>
      <c r="AJ60" s="964"/>
      <c r="AK60" s="964"/>
      <c r="AL60" s="964"/>
      <c r="AM60" s="964"/>
      <c r="AS60" s="17">
        <v>14</v>
      </c>
    </row>
    <row r="61" spans="1:45" ht="14.65" customHeight="1">
      <c r="T61" s="964"/>
      <c r="U61" s="964"/>
      <c r="V61" s="964"/>
      <c r="W61" s="964"/>
      <c r="X61" s="964"/>
      <c r="Y61" s="964"/>
      <c r="Z61" s="964"/>
      <c r="AA61" s="964"/>
      <c r="AB61" s="964"/>
      <c r="AC61" s="964"/>
      <c r="AD61" s="964"/>
      <c r="AE61" s="964"/>
      <c r="AF61" s="964"/>
      <c r="AG61" s="964"/>
      <c r="AH61" s="964"/>
      <c r="AI61" s="964"/>
      <c r="AJ61" s="964"/>
      <c r="AK61" s="964"/>
      <c r="AL61" s="964"/>
      <c r="AM61" s="964"/>
      <c r="AS61" s="17">
        <v>14</v>
      </c>
    </row>
    <row r="62" spans="1:45" ht="14.65" customHeight="1">
      <c r="AS62" s="17">
        <v>14</v>
      </c>
    </row>
    <row r="63" spans="1:45" ht="14.65" customHeight="1">
      <c r="T63" s="964"/>
      <c r="U63" s="964"/>
      <c r="V63" s="964"/>
      <c r="W63" s="964"/>
      <c r="X63" s="964"/>
      <c r="Y63" s="964"/>
      <c r="Z63" s="964"/>
      <c r="AA63" s="964"/>
      <c r="AB63" s="964"/>
      <c r="AC63" s="964"/>
      <c r="AD63" s="964"/>
      <c r="AE63" s="964"/>
      <c r="AF63" s="964"/>
      <c r="AG63" s="964"/>
      <c r="AH63" s="964"/>
      <c r="AI63" s="964"/>
      <c r="AJ63" s="964"/>
      <c r="AK63" s="964"/>
      <c r="AL63" s="964"/>
      <c r="AM63" s="964"/>
      <c r="AS63" s="17">
        <v>14</v>
      </c>
    </row>
    <row r="64" spans="1:45" ht="14.65" customHeight="1">
      <c r="T64" s="964"/>
      <c r="U64" s="964"/>
      <c r="V64" s="964"/>
      <c r="W64" s="964"/>
      <c r="X64" s="964"/>
      <c r="Y64" s="964"/>
      <c r="Z64" s="964"/>
      <c r="AA64" s="964"/>
      <c r="AB64" s="964"/>
      <c r="AC64" s="964"/>
      <c r="AD64" s="964"/>
      <c r="AE64" s="964"/>
      <c r="AF64" s="964"/>
      <c r="AG64" s="964"/>
      <c r="AH64" s="964"/>
      <c r="AI64" s="964"/>
      <c r="AJ64" s="964"/>
      <c r="AK64" s="964"/>
      <c r="AL64" s="964"/>
      <c r="AM64" s="964"/>
      <c r="AS64" s="17">
        <v>14</v>
      </c>
    </row>
    <row r="65" spans="1:45" ht="14.65" customHeight="1">
      <c r="T65" s="964"/>
      <c r="U65" s="964"/>
      <c r="V65" s="964"/>
      <c r="W65" s="964"/>
      <c r="X65" s="964"/>
      <c r="Y65" s="964"/>
      <c r="Z65" s="964"/>
      <c r="AA65" s="964"/>
      <c r="AB65" s="964"/>
      <c r="AC65" s="964"/>
      <c r="AD65" s="964"/>
      <c r="AE65" s="964"/>
      <c r="AF65" s="964"/>
      <c r="AG65" s="964"/>
      <c r="AH65" s="964"/>
      <c r="AI65" s="964"/>
      <c r="AJ65" s="964"/>
      <c r="AK65" s="964"/>
      <c r="AL65" s="964"/>
      <c r="AM65" s="964"/>
      <c r="AS65" s="17">
        <v>14</v>
      </c>
    </row>
    <row r="66" spans="1:45" ht="22.5" hidden="1" customHeight="1">
      <c r="A66" s="37" t="s">
        <v>82</v>
      </c>
      <c r="B66" s="37">
        <v>0</v>
      </c>
      <c r="C66" s="37">
        <v>0</v>
      </c>
      <c r="D66" s="37">
        <v>0</v>
      </c>
      <c r="E66" s="37">
        <v>0</v>
      </c>
      <c r="F66" s="37">
        <v>0</v>
      </c>
      <c r="G66" s="37">
        <v>0</v>
      </c>
      <c r="H66" s="37">
        <v>0</v>
      </c>
      <c r="I66" s="37">
        <v>0</v>
      </c>
      <c r="J66" s="37">
        <v>0</v>
      </c>
      <c r="K66" s="37">
        <v>0</v>
      </c>
      <c r="L66" s="240">
        <v>0</v>
      </c>
      <c r="M66" s="41">
        <v>0</v>
      </c>
      <c r="N66" s="41">
        <v>0</v>
      </c>
      <c r="O66" s="41">
        <v>0</v>
      </c>
      <c r="P66" s="356">
        <v>0</v>
      </c>
      <c r="Q66" s="357">
        <v>3</v>
      </c>
      <c r="R66" s="357">
        <v>3</v>
      </c>
      <c r="S66" s="33">
        <v>12</v>
      </c>
      <c r="T66" s="17">
        <v>31</v>
      </c>
      <c r="U66" s="17">
        <v>0</v>
      </c>
      <c r="V66" s="17">
        <v>0</v>
      </c>
      <c r="W66" s="17">
        <v>0</v>
      </c>
      <c r="X66" s="17">
        <v>0</v>
      </c>
      <c r="Y66" s="17">
        <v>0</v>
      </c>
      <c r="Z66" s="17">
        <v>0</v>
      </c>
      <c r="AA66" s="17">
        <v>0</v>
      </c>
      <c r="AB66" s="17">
        <v>0</v>
      </c>
      <c r="AC66" s="17">
        <v>0</v>
      </c>
      <c r="AD66" s="17">
        <v>24</v>
      </c>
      <c r="AE66" s="17">
        <v>0</v>
      </c>
      <c r="AF66" s="17">
        <v>24</v>
      </c>
      <c r="AG66" s="17">
        <v>24</v>
      </c>
      <c r="AH66" s="17">
        <v>11</v>
      </c>
      <c r="AI66" s="17">
        <v>3</v>
      </c>
      <c r="AJ66" s="17">
        <v>11</v>
      </c>
      <c r="AK66" s="17">
        <v>0</v>
      </c>
      <c r="AL66" s="17">
        <v>4</v>
      </c>
      <c r="AM66" s="17">
        <v>115</v>
      </c>
      <c r="AN66" s="75">
        <v>10</v>
      </c>
      <c r="AO66" s="75">
        <v>10</v>
      </c>
      <c r="AP66" s="75">
        <v>10</v>
      </c>
      <c r="AQ66" s="75">
        <v>10</v>
      </c>
      <c r="AR66" s="75">
        <v>10</v>
      </c>
      <c r="AS66" s="17">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42E8C-47DA-8206-3C2F-857240E26CD1}">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2" width="11.42578125" hidden="1" customWidth="1"/>
    <col min="13" max="13" width="19.140625" hidden="1" customWidth="1"/>
    <col min="14" max="15" width="12.28515625" hidden="1" customWidth="1"/>
    <col min="16" max="16" width="23.42578125" hidden="1" customWidth="1"/>
    <col min="17" max="17" width="3.7109375" hidden="1" customWidth="1"/>
    <col min="18" max="20" width="3" customWidth="1"/>
    <col min="21" max="21" width="12" customWidth="1"/>
    <col min="22" max="22" width="31"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03125" hidden="1" customWidth="1"/>
    <col min="33" max="33" width="21.7109375" customWidth="1"/>
    <col min="34" max="37" width="21" customWidth="1"/>
    <col min="38" max="38" width="11" customWidth="1"/>
    <col min="39" max="39" width="3.7109375" customWidth="1"/>
    <col min="40" max="40" width="11" customWidth="1"/>
    <col min="41" max="41" width="8.5703125" hidden="1" customWidth="1"/>
    <col min="42" max="42" width="4" customWidth="1"/>
    <col min="43" max="43" width="115" customWidth="1"/>
    <col min="44" max="48" width="10" customWidth="1"/>
    <col min="49" max="49" width="10.5703125" hidden="1"/>
  </cols>
  <sheetData>
    <row r="1" spans="5:49" ht="22.5" hidden="1" customHeight="1">
      <c r="AW1" s="17" t="s">
        <v>14</v>
      </c>
    </row>
    <row r="2" spans="5:49" ht="21" hidden="1" customHeight="1">
      <c r="E2" s="1137">
        <v>1</v>
      </c>
      <c r="T2" s="294"/>
      <c r="U2" s="295" t="e">
        <f>INDEX(PT_DIFFERENTIATION_NUM_NTAR,MATCH(A2,PT_DIFFERENTIATION_NTAR_ID,0))</f>
        <v>#N/A</v>
      </c>
      <c r="V2" s="296" t="s">
        <v>126</v>
      </c>
      <c r="W2" s="297"/>
      <c r="X2" s="1106"/>
      <c r="Y2" s="1107"/>
      <c r="Z2" s="1107"/>
      <c r="AA2" s="1107"/>
      <c r="AB2" s="1107"/>
      <c r="AC2" s="1107"/>
      <c r="AD2" s="1107"/>
      <c r="AE2" s="1107"/>
      <c r="AF2" s="1108"/>
      <c r="AG2" s="1106" t="e">
        <f>INDEX(PT_DIFFERENTIATION_NTAR,MATCH(A2,PT_DIFFERENTIATION_NTAR_ID,0))</f>
        <v>#N/A</v>
      </c>
      <c r="AH2" s="1107"/>
      <c r="AI2" s="1107"/>
      <c r="AJ2" s="1107"/>
      <c r="AK2" s="1107"/>
      <c r="AL2" s="1107"/>
      <c r="AM2" s="1107"/>
      <c r="AN2" s="1107"/>
      <c r="AO2" s="1107"/>
      <c r="AP2" s="1108"/>
      <c r="AQ2" s="299" t="s">
        <v>397</v>
      </c>
      <c r="AT2" s="87" t="str">
        <f t="shared" ref="AT2:AT8" si="0">IF(V2="","",V2)</f>
        <v>Наименование тарифа</v>
      </c>
      <c r="AW2" s="17">
        <v>0</v>
      </c>
    </row>
    <row r="3" spans="5:49" ht="21" hidden="1" customHeight="1">
      <c r="E3" s="1138"/>
      <c r="F3" s="1137">
        <v>1</v>
      </c>
      <c r="R3" s="300"/>
      <c r="T3" s="301"/>
      <c r="U3" s="295" t="e">
        <f>INDEX(PT_DIFFERENTIATION_NUM_TER,MATCH(B3,PT_DIFFERENTIATION_TER_ID,0))</f>
        <v>#N/A</v>
      </c>
      <c r="V3" s="302" t="s">
        <v>398</v>
      </c>
      <c r="W3" s="297"/>
      <c r="X3" s="1106"/>
      <c r="Y3" s="1107"/>
      <c r="Z3" s="1107"/>
      <c r="AA3" s="1107"/>
      <c r="AB3" s="1107"/>
      <c r="AC3" s="1107"/>
      <c r="AD3" s="1107"/>
      <c r="AE3" s="1107"/>
      <c r="AF3" s="1108"/>
      <c r="AG3" s="1106" t="e">
        <f>INDEX(PT_DIFFERENTIATION_TER,MATCH(B3,PT_DIFFERENTIATION_TER_ID,0))</f>
        <v>#N/A</v>
      </c>
      <c r="AH3" s="1107"/>
      <c r="AI3" s="1107"/>
      <c r="AJ3" s="1107"/>
      <c r="AK3" s="1107"/>
      <c r="AL3" s="1107"/>
      <c r="AM3" s="1107"/>
      <c r="AN3" s="1107"/>
      <c r="AO3" s="1107"/>
      <c r="AP3" s="1108"/>
      <c r="AQ3" s="299" t="s">
        <v>399</v>
      </c>
      <c r="AT3" s="87" t="str">
        <f t="shared" si="0"/>
        <v>Территория действия тарифа</v>
      </c>
      <c r="AW3" s="17">
        <v>0</v>
      </c>
    </row>
    <row r="4" spans="5:49" ht="22.5" hidden="1" customHeight="1">
      <c r="E4" s="1138"/>
      <c r="F4" s="1138"/>
      <c r="G4" s="1137">
        <v>1</v>
      </c>
      <c r="R4" s="300"/>
      <c r="T4" s="301"/>
      <c r="U4" s="295" t="e">
        <f>INDEX(PT_DIFFERENTIATION_NUM_CS,MATCH(C4,PT_DIFFERENTIATION_CS_ID,0))</f>
        <v>#N/A</v>
      </c>
      <c r="V4" s="303" t="s">
        <v>400</v>
      </c>
      <c r="W4" s="297"/>
      <c r="X4" s="1106"/>
      <c r="Y4" s="1107"/>
      <c r="Z4" s="1107"/>
      <c r="AA4" s="1107"/>
      <c r="AB4" s="1107"/>
      <c r="AC4" s="1107"/>
      <c r="AD4" s="1107"/>
      <c r="AE4" s="1107"/>
      <c r="AF4" s="1108"/>
      <c r="AG4" s="1106" t="e">
        <f>INDEX(PT_DIFFERENTIATION_CS,MATCH(C4,PT_DIFFERENTIATION_CS_ID,0))</f>
        <v>#N/A</v>
      </c>
      <c r="AH4" s="1107"/>
      <c r="AI4" s="1107"/>
      <c r="AJ4" s="1107"/>
      <c r="AK4" s="1107"/>
      <c r="AL4" s="1107"/>
      <c r="AM4" s="1107"/>
      <c r="AN4" s="1107"/>
      <c r="AO4" s="1107"/>
      <c r="AP4" s="1108"/>
      <c r="AQ4" s="299" t="s">
        <v>401</v>
      </c>
      <c r="AT4" s="87" t="str">
        <f t="shared" si="0"/>
        <v xml:space="preserve">Наименование системы теплоснабжения </v>
      </c>
      <c r="AW4" s="17">
        <v>0</v>
      </c>
    </row>
    <row r="5" spans="5:49" ht="21" hidden="1" customHeight="1">
      <c r="E5" s="1138"/>
      <c r="F5" s="1138"/>
      <c r="G5" s="1138"/>
      <c r="H5" s="1137">
        <v>1</v>
      </c>
      <c r="R5" s="300"/>
      <c r="T5" s="301"/>
      <c r="U5" s="295" t="e">
        <f>INDEX(PT_DIFFERENTIATION_NUM_IST_TE,MATCH(D5,PT_DIFFERENTIATION_IST_TE_ID,0))</f>
        <v>#N/A</v>
      </c>
      <c r="V5" s="304" t="s">
        <v>402</v>
      </c>
      <c r="W5" s="297"/>
      <c r="X5" s="1106"/>
      <c r="Y5" s="1107"/>
      <c r="Z5" s="1107"/>
      <c r="AA5" s="1107"/>
      <c r="AB5" s="1107"/>
      <c r="AC5" s="1107"/>
      <c r="AD5" s="1107"/>
      <c r="AE5" s="1107"/>
      <c r="AF5" s="1108"/>
      <c r="AG5" s="1106" t="e">
        <f>INDEX(PT_DIFFERENTIATION_IST_TE,MATCH(D5,PT_DIFFERENTIATION_IST_TE_ID,0))</f>
        <v>#N/A</v>
      </c>
      <c r="AH5" s="1107"/>
      <c r="AI5" s="1107"/>
      <c r="AJ5" s="1107"/>
      <c r="AK5" s="1107"/>
      <c r="AL5" s="1107"/>
      <c r="AM5" s="1107"/>
      <c r="AN5" s="1107"/>
      <c r="AO5" s="1107"/>
      <c r="AP5" s="1108"/>
      <c r="AQ5" s="299" t="s">
        <v>403</v>
      </c>
      <c r="AT5" s="87" t="str">
        <f t="shared" si="0"/>
        <v xml:space="preserve">Источник тепловой энергии  </v>
      </c>
      <c r="AW5" s="17">
        <v>0</v>
      </c>
    </row>
    <row r="6" spans="5:49" ht="14.25" hidden="1" customHeight="1">
      <c r="E6" s="1138"/>
      <c r="F6" s="1138"/>
      <c r="G6" s="1138"/>
      <c r="H6" s="1138"/>
      <c r="I6" s="995" t="e">
        <f>U5&amp;".1"</f>
        <v>#N/A</v>
      </c>
      <c r="M6" s="358" t="s">
        <v>404</v>
      </c>
      <c r="Q6" s="1115">
        <v>1</v>
      </c>
      <c r="T6" s="307"/>
      <c r="U6" s="193"/>
      <c r="V6" s="363"/>
      <c r="W6" s="364"/>
      <c r="X6" s="1142"/>
      <c r="Y6" s="1143"/>
      <c r="Z6" s="1143"/>
      <c r="AA6" s="1143"/>
      <c r="AB6" s="1143"/>
      <c r="AC6" s="1143"/>
      <c r="AD6" s="1143"/>
      <c r="AE6" s="1143"/>
      <c r="AF6" s="1144"/>
      <c r="AG6" s="1142"/>
      <c r="AH6" s="1143"/>
      <c r="AI6" s="1143"/>
      <c r="AJ6" s="1143"/>
      <c r="AK6" s="1143"/>
      <c r="AL6" s="1143"/>
      <c r="AM6" s="1143"/>
      <c r="AN6" s="1143"/>
      <c r="AO6" s="1143"/>
      <c r="AP6" s="1144"/>
      <c r="AQ6" s="366"/>
      <c r="AT6" s="87" t="str">
        <f t="shared" si="0"/>
        <v/>
      </c>
      <c r="AW6" s="17">
        <v>0</v>
      </c>
    </row>
    <row r="7" spans="5:49" ht="21" hidden="1" customHeight="1">
      <c r="E7" s="1138"/>
      <c r="F7" s="1138"/>
      <c r="G7" s="1138"/>
      <c r="H7" s="1138"/>
      <c r="I7" s="977"/>
      <c r="J7" s="995" t="e">
        <f>I6&amp;".1"</f>
        <v>#N/A</v>
      </c>
      <c r="M7" s="358" t="s">
        <v>407</v>
      </c>
      <c r="Q7" s="964"/>
      <c r="R7" s="1115">
        <v>1</v>
      </c>
      <c r="T7" s="309"/>
      <c r="U7" s="295" t="e">
        <f>$J7</f>
        <v>#N/A</v>
      </c>
      <c r="V7" s="310" t="s">
        <v>408</v>
      </c>
      <c r="W7" s="297"/>
      <c r="X7" s="1100"/>
      <c r="Y7" s="1101"/>
      <c r="Z7" s="1101"/>
      <c r="AA7" s="1101"/>
      <c r="AB7" s="1101"/>
      <c r="AC7" s="1096"/>
      <c r="AD7" s="1096"/>
      <c r="AE7" s="1096"/>
      <c r="AF7" s="1155"/>
      <c r="AG7" s="1100"/>
      <c r="AH7" s="1101"/>
      <c r="AI7" s="1101"/>
      <c r="AJ7" s="1101"/>
      <c r="AK7" s="1101"/>
      <c r="AL7" s="1101"/>
      <c r="AM7" s="1101"/>
      <c r="AN7" s="1101"/>
      <c r="AO7" s="1101"/>
      <c r="AP7" s="1102"/>
      <c r="AQ7" s="299" t="s">
        <v>409</v>
      </c>
      <c r="AT7" s="87" t="str">
        <f t="shared" si="0"/>
        <v>Группа потребителей</v>
      </c>
      <c r="AW7" s="17">
        <v>0</v>
      </c>
    </row>
    <row r="8" spans="5:49" ht="21" hidden="1" customHeight="1">
      <c r="E8" s="1138"/>
      <c r="F8" s="1138"/>
      <c r="G8" s="1138"/>
      <c r="H8" s="1138"/>
      <c r="I8" s="977"/>
      <c r="J8" s="977"/>
      <c r="K8" s="995" t="e">
        <f>J7&amp;".1"</f>
        <v>#N/A</v>
      </c>
      <c r="M8" s="358" t="s">
        <v>410</v>
      </c>
      <c r="Q8" s="964"/>
      <c r="R8" s="964"/>
      <c r="S8" s="1115">
        <v>1</v>
      </c>
      <c r="T8" s="309"/>
      <c r="U8" s="295" t="e">
        <f>$K8</f>
        <v>#N/A</v>
      </c>
      <c r="V8" s="311"/>
      <c r="W8" s="297"/>
      <c r="X8" s="312"/>
      <c r="Y8" s="312"/>
      <c r="Z8" s="312"/>
      <c r="AA8" s="312"/>
      <c r="AB8" s="384"/>
      <c r="AC8" s="1116"/>
      <c r="AD8" s="1004" t="s">
        <v>66</v>
      </c>
      <c r="AE8" s="1116"/>
      <c r="AF8" s="1004" t="s">
        <v>66</v>
      </c>
      <c r="AG8" s="385"/>
      <c r="AH8" s="312"/>
      <c r="AI8" s="312"/>
      <c r="AJ8" s="312"/>
      <c r="AK8" s="314"/>
      <c r="AL8" s="1116"/>
      <c r="AM8" s="1004" t="s">
        <v>66</v>
      </c>
      <c r="AN8" s="1116"/>
      <c r="AO8" s="1004" t="s">
        <v>66</v>
      </c>
      <c r="AP8" s="313"/>
      <c r="AQ8" s="386" t="s">
        <v>453</v>
      </c>
      <c r="AR8" s="75" t="e">
        <f ca="1">STRCHECKDATE(X10:AP10)</f>
        <v>#NAME?</v>
      </c>
      <c r="AT8" s="87" t="str">
        <f t="shared" si="0"/>
        <v/>
      </c>
      <c r="AW8" s="17">
        <v>0</v>
      </c>
    </row>
    <row r="9" spans="5:49" ht="21" hidden="1" customHeight="1">
      <c r="E9" s="1138"/>
      <c r="F9" s="1138"/>
      <c r="G9" s="1138"/>
      <c r="H9" s="1138"/>
      <c r="I9" s="977"/>
      <c r="J9" s="977"/>
      <c r="K9" s="977"/>
      <c r="L9" s="995" t="e">
        <f>K8&amp;".1"</f>
        <v>#N/A</v>
      </c>
      <c r="Q9" s="964"/>
      <c r="R9" s="964"/>
      <c r="S9" s="964"/>
      <c r="T9" s="309"/>
      <c r="U9" s="295" t="e">
        <f>$L9</f>
        <v>#N/A</v>
      </c>
      <c r="V9" s="387"/>
      <c r="W9" s="297"/>
      <c r="X9" s="313"/>
      <c r="Y9" s="312"/>
      <c r="Z9" s="312"/>
      <c r="AA9" s="312"/>
      <c r="AB9" s="384"/>
      <c r="AC9" s="1117"/>
      <c r="AD9" s="1004"/>
      <c r="AE9" s="1117"/>
      <c r="AF9" s="1004"/>
      <c r="AG9" s="385"/>
      <c r="AH9" s="312"/>
      <c r="AI9" s="312"/>
      <c r="AJ9" s="312"/>
      <c r="AK9" s="314"/>
      <c r="AL9" s="1117"/>
      <c r="AM9" s="1004"/>
      <c r="AN9" s="1117"/>
      <c r="AO9" s="1004"/>
      <c r="AP9" s="313"/>
      <c r="AQ9" s="1134" t="s">
        <v>454</v>
      </c>
      <c r="AW9" s="17">
        <v>0</v>
      </c>
    </row>
    <row r="10" spans="5:49" ht="14.25" hidden="1" customHeight="1">
      <c r="E10" s="1138"/>
      <c r="F10" s="1138"/>
      <c r="G10" s="1138"/>
      <c r="H10" s="1138"/>
      <c r="I10" s="977"/>
      <c r="J10" s="977"/>
      <c r="K10" s="977"/>
      <c r="L10" s="995"/>
      <c r="Q10" s="964"/>
      <c r="R10" s="964"/>
      <c r="S10" s="964"/>
      <c r="T10" s="309"/>
      <c r="U10" s="278"/>
      <c r="V10" s="297"/>
      <c r="W10" s="297"/>
      <c r="X10" s="313"/>
      <c r="Y10" s="313"/>
      <c r="Z10" s="313"/>
      <c r="AA10" s="313"/>
      <c r="AB10" s="388" t="str">
        <f>AC8&amp;"-"&amp;AE8</f>
        <v>-</v>
      </c>
      <c r="AC10" s="1117"/>
      <c r="AD10" s="1004"/>
      <c r="AE10" s="1117"/>
      <c r="AF10" s="1004"/>
      <c r="AG10" s="389"/>
      <c r="AH10" s="313"/>
      <c r="AI10" s="313"/>
      <c r="AJ10" s="313"/>
      <c r="AK10" s="316" t="str">
        <f>AL8&amp;"-"&amp;AN8</f>
        <v>-</v>
      </c>
      <c r="AL10" s="1117"/>
      <c r="AM10" s="1004"/>
      <c r="AN10" s="1117"/>
      <c r="AO10" s="1004"/>
      <c r="AP10" s="313"/>
      <c r="AQ10" s="1135"/>
      <c r="AT10" s="87" t="str">
        <f>IF(V10="","",V10)</f>
        <v/>
      </c>
      <c r="AW10" s="17">
        <v>0</v>
      </c>
    </row>
    <row r="11" spans="5:49" ht="11.25" hidden="1" customHeight="1">
      <c r="E11" s="1138"/>
      <c r="F11" s="1138"/>
      <c r="G11" s="1138"/>
      <c r="H11" s="1138"/>
      <c r="I11" s="977"/>
      <c r="J11" s="977"/>
      <c r="K11" s="995"/>
      <c r="Q11" s="964"/>
      <c r="R11" s="964"/>
      <c r="S11" s="964"/>
      <c r="T11" s="309"/>
      <c r="U11" s="318"/>
      <c r="V11" s="319" t="s">
        <v>455</v>
      </c>
      <c r="W11" s="390"/>
      <c r="X11" s="391"/>
      <c r="Y11" s="391"/>
      <c r="Z11" s="391"/>
      <c r="AA11" s="391"/>
      <c r="AB11" s="392"/>
      <c r="AC11" s="1117"/>
      <c r="AD11" s="1004"/>
      <c r="AE11" s="1117"/>
      <c r="AF11" s="1004"/>
      <c r="AG11" s="391"/>
      <c r="AH11" s="391"/>
      <c r="AI11" s="391"/>
      <c r="AJ11" s="391"/>
      <c r="AK11" s="392"/>
      <c r="AL11" s="1117"/>
      <c r="AM11" s="1004"/>
      <c r="AN11" s="1117"/>
      <c r="AO11" s="1004"/>
      <c r="AP11" s="393"/>
      <c r="AQ11" s="1135"/>
      <c r="AW11" s="17">
        <v>0</v>
      </c>
    </row>
    <row r="12" spans="5:49" ht="15" hidden="1" customHeight="1">
      <c r="E12" s="1138"/>
      <c r="F12" s="1138"/>
      <c r="G12" s="1138"/>
      <c r="H12" s="1138"/>
      <c r="I12" s="977"/>
      <c r="J12" s="995"/>
      <c r="Q12" s="964"/>
      <c r="R12" s="964"/>
      <c r="T12" s="307"/>
      <c r="U12" s="318"/>
      <c r="V12" s="321" t="s">
        <v>412</v>
      </c>
      <c r="W12" s="117"/>
      <c r="X12" s="117"/>
      <c r="Y12" s="117"/>
      <c r="Z12" s="117"/>
      <c r="AA12" s="117"/>
      <c r="AB12" s="117"/>
      <c r="AC12" s="394"/>
      <c r="AD12" s="394"/>
      <c r="AE12" s="394"/>
      <c r="AF12" s="394"/>
      <c r="AG12" s="117"/>
      <c r="AH12" s="117"/>
      <c r="AI12" s="117"/>
      <c r="AJ12" s="117"/>
      <c r="AK12" s="117"/>
      <c r="AL12" s="117"/>
      <c r="AM12" s="117"/>
      <c r="AN12" s="117"/>
      <c r="AO12" s="117"/>
      <c r="AP12" s="320"/>
      <c r="AQ12" s="1136"/>
      <c r="AT12" s="87" t="str">
        <f t="shared" ref="AT12:AT17" si="1">IF(V12="","",V12)</f>
        <v>Добавить вид теплоносителя (параметры теплоносителя)</v>
      </c>
      <c r="AW12" s="17">
        <v>0</v>
      </c>
    </row>
    <row r="13" spans="5:49" ht="11.25" hidden="1" customHeight="1">
      <c r="E13" s="1138"/>
      <c r="F13" s="1138"/>
      <c r="G13" s="1138"/>
      <c r="H13" s="1138"/>
      <c r="I13" s="995"/>
      <c r="Q13" s="964"/>
      <c r="T13" s="307"/>
      <c r="U13" s="318"/>
      <c r="V13" s="324" t="s">
        <v>413</v>
      </c>
      <c r="W13" s="117"/>
      <c r="X13" s="117"/>
      <c r="Y13" s="117"/>
      <c r="Z13" s="117"/>
      <c r="AA13" s="117"/>
      <c r="AB13" s="117"/>
      <c r="AC13" s="117"/>
      <c r="AD13" s="117"/>
      <c r="AE13" s="117"/>
      <c r="AF13" s="322"/>
      <c r="AG13" s="117"/>
      <c r="AH13" s="117"/>
      <c r="AI13" s="117"/>
      <c r="AJ13" s="117"/>
      <c r="AK13" s="117"/>
      <c r="AL13" s="117"/>
      <c r="AM13" s="117"/>
      <c r="AN13" s="117"/>
      <c r="AO13" s="322"/>
      <c r="AP13" s="117"/>
      <c r="AQ13" s="323"/>
      <c r="AT13" s="87" t="str">
        <f t="shared" si="1"/>
        <v>Добавить группу потребителей</v>
      </c>
      <c r="AW13" s="17">
        <v>0</v>
      </c>
    </row>
    <row r="14" spans="5:49" ht="14.25" hidden="1" customHeight="1">
      <c r="E14" s="1138"/>
      <c r="F14" s="1138"/>
      <c r="G14" s="1138"/>
      <c r="H14" s="1137"/>
      <c r="S14" s="294"/>
      <c r="U14" s="367"/>
      <c r="V14" s="368"/>
      <c r="W14" s="369"/>
      <c r="X14" s="369"/>
      <c r="Y14" s="369"/>
      <c r="Z14" s="369"/>
      <c r="AA14" s="369"/>
      <c r="AB14" s="369"/>
      <c r="AC14" s="369"/>
      <c r="AD14" s="369"/>
      <c r="AE14" s="369"/>
      <c r="AF14" s="369"/>
      <c r="AG14" s="369"/>
      <c r="AH14" s="369"/>
      <c r="AI14" s="369"/>
      <c r="AJ14" s="369"/>
      <c r="AK14" s="369"/>
      <c r="AL14" s="369"/>
      <c r="AM14" s="369"/>
      <c r="AN14" s="369"/>
      <c r="AO14" s="369"/>
      <c r="AP14" s="369"/>
      <c r="AQ14" s="370"/>
      <c r="AT14" s="87" t="str">
        <f t="shared" si="1"/>
        <v/>
      </c>
      <c r="AW14" s="17">
        <v>0</v>
      </c>
    </row>
    <row r="15" spans="5:49" ht="14.25" hidden="1" customHeight="1">
      <c r="E15" s="1138"/>
      <c r="F15" s="1138"/>
      <c r="G15" s="1137"/>
      <c r="U15" s="325"/>
      <c r="V15" s="326" t="s">
        <v>415</v>
      </c>
      <c r="W15" s="327"/>
      <c r="X15" s="327"/>
      <c r="Y15" s="327"/>
      <c r="Z15" s="327"/>
      <c r="AA15" s="327"/>
      <c r="AB15" s="327"/>
      <c r="AC15" s="327"/>
      <c r="AD15" s="327"/>
      <c r="AE15" s="327"/>
      <c r="AF15" s="327"/>
      <c r="AG15" s="327"/>
      <c r="AH15" s="327"/>
      <c r="AI15" s="327"/>
      <c r="AJ15" s="327"/>
      <c r="AK15" s="327"/>
      <c r="AL15" s="327"/>
      <c r="AM15" s="327"/>
      <c r="AN15" s="327"/>
      <c r="AO15" s="327"/>
      <c r="AP15" s="327"/>
      <c r="AQ15" s="327"/>
      <c r="AT15" s="87" t="str">
        <f t="shared" si="1"/>
        <v>Добавить источник для дифференциации</v>
      </c>
      <c r="AW15" s="75">
        <v>0</v>
      </c>
    </row>
    <row r="16" spans="5:49" ht="14.25" hidden="1" customHeight="1">
      <c r="E16" s="1138"/>
      <c r="F16" s="1137"/>
      <c r="V16" s="328" t="s">
        <v>416</v>
      </c>
      <c r="AT16" s="87" t="str">
        <f t="shared" si="1"/>
        <v>Добавить централизованную систему для дифференциации</v>
      </c>
      <c r="AW16" s="75">
        <v>0</v>
      </c>
    </row>
    <row r="17" spans="5:49" ht="14.25" hidden="1" customHeight="1">
      <c r="E17" s="1137"/>
      <c r="V17" s="329" t="s">
        <v>417</v>
      </c>
      <c r="AT17" s="87" t="str">
        <f t="shared" si="1"/>
        <v>Добавить территорию для дифференциации</v>
      </c>
      <c r="AW17" s="75">
        <v>0</v>
      </c>
    </row>
    <row r="18" spans="5:49" ht="14.25" hidden="1" customHeight="1">
      <c r="AW18" s="17">
        <v>0</v>
      </c>
    </row>
    <row r="19" spans="5:49" ht="14.25" hidden="1" customHeight="1">
      <c r="AG19" s="330"/>
      <c r="AH19" s="330"/>
      <c r="AI19" s="330"/>
      <c r="AJ19" s="330"/>
      <c r="AK19" s="331"/>
      <c r="AL19" s="1110"/>
      <c r="AM19" s="1109" t="s">
        <v>66</v>
      </c>
      <c r="AN19" s="1110"/>
      <c r="AO19" s="1109" t="s">
        <v>66</v>
      </c>
      <c r="AW19" s="17">
        <v>0</v>
      </c>
    </row>
    <row r="20" spans="5:49" ht="14.25" hidden="1" customHeight="1">
      <c r="AG20" s="330"/>
      <c r="AH20" s="330"/>
      <c r="AI20" s="330"/>
      <c r="AJ20" s="330"/>
      <c r="AK20" s="331"/>
      <c r="AL20" s="1110"/>
      <c r="AM20" s="1109"/>
      <c r="AN20" s="1110"/>
      <c r="AO20" s="1109"/>
      <c r="AW20" s="17">
        <v>0</v>
      </c>
    </row>
    <row r="21" spans="5:49" ht="14.25" hidden="1" customHeight="1">
      <c r="AG21" s="330"/>
      <c r="AH21" s="330"/>
      <c r="AI21" s="330"/>
      <c r="AJ21" s="330"/>
      <c r="AK21" s="331"/>
      <c r="AL21" s="1110"/>
      <c r="AM21" s="1109"/>
      <c r="AN21" s="1110"/>
      <c r="AO21" s="1109"/>
      <c r="AW21" s="17">
        <v>0</v>
      </c>
    </row>
    <row r="22" spans="5:49" ht="14.25" hidden="1" customHeight="1">
      <c r="AG22" s="330"/>
      <c r="AH22" s="330"/>
      <c r="AI22" s="330"/>
      <c r="AJ22" s="330"/>
      <c r="AK22" s="316" t="str">
        <f>AL19&amp;"-"&amp;AN19</f>
        <v>-</v>
      </c>
      <c r="AL22" s="1109"/>
      <c r="AM22" s="1109"/>
      <c r="AN22" s="1109"/>
      <c r="AO22" s="1109"/>
      <c r="AW22" s="17">
        <v>0</v>
      </c>
    </row>
    <row r="23" spans="5:49" ht="14.25" hidden="1" customHeight="1">
      <c r="AW23" s="17">
        <v>0</v>
      </c>
    </row>
    <row r="24" spans="5:49" ht="22.5" hidden="1" customHeight="1">
      <c r="P24" s="359" t="s">
        <v>418</v>
      </c>
      <c r="AC24" s="332"/>
      <c r="AE24" s="332"/>
      <c r="AL24" s="332"/>
      <c r="AN24" s="332"/>
      <c r="AW24" s="37">
        <v>0</v>
      </c>
    </row>
    <row r="25" spans="5:49" ht="14.25" hidden="1" customHeight="1">
      <c r="AW25" s="37">
        <v>0</v>
      </c>
    </row>
    <row r="26" spans="5:49" ht="14.25" hidden="1" customHeight="1">
      <c r="P26" s="358" t="s">
        <v>419</v>
      </c>
      <c r="V26" s="37" t="s">
        <v>420</v>
      </c>
      <c r="AD26" s="126" t="s">
        <v>421</v>
      </c>
      <c r="AF26" s="126" t="s">
        <v>422</v>
      </c>
      <c r="AG26" s="37" t="s">
        <v>420</v>
      </c>
      <c r="AM26" s="126" t="s">
        <v>423</v>
      </c>
      <c r="AO26" s="126" t="s">
        <v>422</v>
      </c>
      <c r="AW26" s="37">
        <v>0</v>
      </c>
    </row>
    <row r="27" spans="5:49" ht="14.25" hidden="1" customHeight="1">
      <c r="AW27" s="17">
        <v>0</v>
      </c>
    </row>
    <row r="28" spans="5:49" ht="14.25" hidden="1" customHeight="1">
      <c r="AW28" s="17">
        <v>0</v>
      </c>
    </row>
    <row r="29" spans="5:49" ht="14.65" customHeight="1">
      <c r="R29" s="333"/>
      <c r="S29" s="333"/>
      <c r="T29" s="333"/>
      <c r="U29" s="334"/>
      <c r="V29" s="38"/>
      <c r="W29" s="38"/>
      <c r="AW29" s="17">
        <v>14</v>
      </c>
    </row>
    <row r="30" spans="5:49" ht="56.65" customHeight="1">
      <c r="R30" s="333"/>
      <c r="S30" s="333"/>
      <c r="T30" s="333"/>
      <c r="U30" s="10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093"/>
      <c r="W30" s="1093"/>
      <c r="X30" s="1093"/>
      <c r="Y30" s="1093"/>
      <c r="Z30" s="1093"/>
      <c r="AA30" s="1093"/>
      <c r="AB30" s="1093"/>
      <c r="AC30" s="1093"/>
      <c r="AD30" s="1093"/>
      <c r="AE30" s="1093"/>
      <c r="AF30" s="1093"/>
      <c r="AG30" s="1093"/>
      <c r="AH30" s="1093"/>
      <c r="AI30" s="1093"/>
      <c r="AJ30" s="1093"/>
      <c r="AK30" s="1093"/>
      <c r="AL30" s="1093"/>
      <c r="AM30" s="1093"/>
      <c r="AN30" s="1093"/>
      <c r="AW30" s="17">
        <v>54</v>
      </c>
    </row>
    <row r="31" spans="5:49" ht="14.65" customHeight="1">
      <c r="R31" s="333"/>
      <c r="S31" s="333"/>
      <c r="T31" s="333"/>
      <c r="U31" s="1066" t="str">
        <f>IF(org=0,"Не определено",org)</f>
        <v>ООО "ТВС"</v>
      </c>
      <c r="V31" s="1066"/>
      <c r="W31" s="1066"/>
      <c r="X31" s="1066"/>
      <c r="Y31" s="1066"/>
      <c r="Z31" s="1066"/>
      <c r="AA31" s="1066"/>
      <c r="AB31" s="1066"/>
      <c r="AC31" s="1066"/>
      <c r="AD31" s="1066"/>
      <c r="AE31" s="1066"/>
      <c r="AF31" s="1066"/>
      <c r="AG31" s="1066"/>
      <c r="AH31" s="1066"/>
      <c r="AI31" s="1066"/>
      <c r="AJ31" s="1066"/>
      <c r="AK31" s="1066"/>
      <c r="AL31" s="1066"/>
      <c r="AM31" s="1066"/>
      <c r="AN31" s="1066"/>
      <c r="AW31" s="17">
        <v>14</v>
      </c>
    </row>
    <row r="32" spans="5:49" ht="14.25" hidden="1" customHeight="1">
      <c r="R32" s="333"/>
      <c r="S32" s="333"/>
      <c r="T32" s="333"/>
      <c r="U32" s="334"/>
      <c r="V32" s="38"/>
      <c r="W32" s="38"/>
      <c r="X32" s="335"/>
      <c r="Y32" s="335"/>
      <c r="Z32" s="335"/>
      <c r="AA32" s="335"/>
      <c r="AB32" s="335"/>
      <c r="AC32" s="335"/>
      <c r="AD32" s="335"/>
      <c r="AE32" s="335"/>
      <c r="AF32" s="335"/>
      <c r="AG32" s="335"/>
      <c r="AH32" s="335"/>
      <c r="AI32" s="335"/>
      <c r="AJ32" s="335"/>
      <c r="AK32" s="335"/>
      <c r="AL32" s="335"/>
      <c r="AM32" s="335"/>
      <c r="AN32" s="335"/>
      <c r="AO32" s="335"/>
      <c r="AW32" s="17">
        <v>0</v>
      </c>
    </row>
    <row r="33" spans="2:49" ht="25.5" hidden="1" customHeight="1">
      <c r="U33" s="1103" t="s">
        <v>42</v>
      </c>
      <c r="V33" s="1103"/>
      <c r="W33" s="337"/>
      <c r="X33" s="1105" t="str">
        <f>IF(TITLE_NAME_OR_PR_CHANGE="",IF(TITLE_NAME_OR_PR="","",TITLE_NAME_OR_PR),TITLE_NAME_OR_PR_CHANGE)</f>
        <v/>
      </c>
      <c r="Y33" s="1105"/>
      <c r="Z33" s="1105"/>
      <c r="AA33" s="1105"/>
      <c r="AB33" s="1105"/>
      <c r="AC33" s="1105"/>
      <c r="AD33" s="1105"/>
      <c r="AE33" s="1105"/>
      <c r="AG33" s="1105" t="str">
        <f>IF(TITLE_NAME_OR_PR_CHANGE="",IF(TITLE_NAME_OR_PR="","",TITLE_NAME_OR_PR),TITLE_NAME_OR_PR_CHANGE)</f>
        <v/>
      </c>
      <c r="AH33" s="1105"/>
      <c r="AI33" s="1105"/>
      <c r="AJ33" s="1105"/>
      <c r="AK33" s="1105"/>
      <c r="AL33" s="1105"/>
      <c r="AM33" s="1105"/>
      <c r="AN33" s="1105"/>
      <c r="AW33" s="111">
        <v>0</v>
      </c>
    </row>
    <row r="34" spans="2:49" ht="18.75" hidden="1" customHeight="1">
      <c r="U34" s="1103" t="s">
        <v>424</v>
      </c>
      <c r="V34" s="1103"/>
      <c r="W34" s="337"/>
      <c r="X34" s="1104" t="str">
        <f>IF(TITLE_DATE_PR_CHANGE="",IF(TITLE_DATE_PR="","",TITLE_DATE_PR),TITLE_DATE_PR_CHANGE)</f>
        <v/>
      </c>
      <c r="Y34" s="1104"/>
      <c r="Z34" s="1104"/>
      <c r="AA34" s="1104"/>
      <c r="AB34" s="1104"/>
      <c r="AC34" s="1104"/>
      <c r="AD34" s="1104"/>
      <c r="AE34" s="1104"/>
      <c r="AG34" s="1104" t="str">
        <f>IF(TITLE_DATE_PR_CHANGE="",IF(TITLE_DATE_PR="","",TITLE_DATE_PR),TITLE_DATE_PR_CHANGE)</f>
        <v/>
      </c>
      <c r="AH34" s="1104"/>
      <c r="AI34" s="1104"/>
      <c r="AJ34" s="1104"/>
      <c r="AK34" s="1104"/>
      <c r="AL34" s="1104"/>
      <c r="AM34" s="1104"/>
      <c r="AN34" s="1104"/>
      <c r="AW34" s="111">
        <v>0</v>
      </c>
    </row>
    <row r="35" spans="2:49" ht="18.75" hidden="1" customHeight="1">
      <c r="U35" s="1103" t="s">
        <v>425</v>
      </c>
      <c r="V35" s="1103"/>
      <c r="W35" s="337"/>
      <c r="X35" s="1105" t="str">
        <f>IF(TITLE_NUMBER_PR_CHANGE="",IF(TITLE_NUMBER_PR="","",TITLE_NUMBER_PR),TITLE_NUMBER_PR_CHANGE)</f>
        <v/>
      </c>
      <c r="Y35" s="1105"/>
      <c r="Z35" s="1105"/>
      <c r="AA35" s="1105"/>
      <c r="AB35" s="1105"/>
      <c r="AC35" s="1105"/>
      <c r="AD35" s="1105"/>
      <c r="AE35" s="1105"/>
      <c r="AG35" s="1105" t="str">
        <f>IF(TITLE_NUMBER_PR_CHANGE="",IF(TITLE_NUMBER_PR="","",TITLE_NUMBER_PR),TITLE_NUMBER_PR_CHANGE)</f>
        <v/>
      </c>
      <c r="AH35" s="1105"/>
      <c r="AI35" s="1105"/>
      <c r="AJ35" s="1105"/>
      <c r="AK35" s="1105"/>
      <c r="AL35" s="1105"/>
      <c r="AM35" s="1105"/>
      <c r="AN35" s="1105"/>
      <c r="AW35" s="111">
        <v>0</v>
      </c>
    </row>
    <row r="36" spans="2:49" ht="18.75" hidden="1" customHeight="1">
      <c r="U36" s="1103" t="s">
        <v>43</v>
      </c>
      <c r="V36" s="1103"/>
      <c r="W36" s="337"/>
      <c r="X36" s="1105" t="str">
        <f>IF(TITLE_IST_PUB_CHANGE="",IF(TITLE_IST_PUB="","",TITLE_IST_PUB),TITLE_IST_PUB_CHANGE)</f>
        <v/>
      </c>
      <c r="Y36" s="1105"/>
      <c r="Z36" s="1105"/>
      <c r="AA36" s="1105"/>
      <c r="AB36" s="1105"/>
      <c r="AC36" s="1105"/>
      <c r="AD36" s="1105"/>
      <c r="AE36" s="1105"/>
      <c r="AG36" s="1105" t="str">
        <f>IF(TITLE_IST_PUB_CHANGE="",IF(TITLE_IST_PUB="","",TITLE_IST_PUB),TITLE_IST_PUB_CHANGE)</f>
        <v/>
      </c>
      <c r="AH36" s="1105"/>
      <c r="AI36" s="1105"/>
      <c r="AJ36" s="1105"/>
      <c r="AK36" s="1105"/>
      <c r="AL36" s="1105"/>
      <c r="AM36" s="1105"/>
      <c r="AN36" s="1105"/>
      <c r="AW36" s="111">
        <v>0</v>
      </c>
    </row>
    <row r="37" spans="2:49" ht="14.25" hidden="1" customHeight="1">
      <c r="R37" s="333"/>
      <c r="S37" s="333"/>
      <c r="T37" s="333"/>
      <c r="U37" s="334"/>
      <c r="V37" s="38"/>
      <c r="W37" s="38"/>
      <c r="X37" s="335"/>
      <c r="Y37" s="335"/>
      <c r="Z37" s="335"/>
      <c r="AA37" s="335"/>
      <c r="AB37" s="335"/>
      <c r="AC37" s="335"/>
      <c r="AD37" s="335"/>
      <c r="AE37" s="335"/>
      <c r="AF37" s="335"/>
      <c r="AG37" s="335"/>
      <c r="AH37" s="335"/>
      <c r="AI37" s="335"/>
      <c r="AJ37" s="335"/>
      <c r="AK37" s="335"/>
      <c r="AL37" s="335"/>
      <c r="AM37" s="335"/>
      <c r="AN37" s="335"/>
      <c r="AO37" s="335"/>
      <c r="AW37" s="17">
        <v>0</v>
      </c>
    </row>
    <row r="38" spans="2:49" ht="18.75" hidden="1" customHeight="1">
      <c r="U38" s="1103" t="s">
        <v>426</v>
      </c>
      <c r="V38" s="1103"/>
      <c r="W38" s="337"/>
      <c r="X38" s="1104" t="str">
        <f>IF(TITLE_DATE_PR_CHANGE="",IF(TITLE_DATE_PR="","",TITLE_DATE_PR),TITLE_DATE_PR_CHANGE)</f>
        <v/>
      </c>
      <c r="Y38" s="1104"/>
      <c r="Z38" s="1104"/>
      <c r="AA38" s="1104"/>
      <c r="AB38" s="1104"/>
      <c r="AC38" s="1104"/>
      <c r="AD38" s="1104"/>
      <c r="AE38" s="1104"/>
      <c r="AG38" s="1104" t="str">
        <f>IF(TITLE_DATE_PR_CHANGE="",IF(TITLE_DATE_PR="","",TITLE_DATE_PR),TITLE_DATE_PR_CHANGE)</f>
        <v/>
      </c>
      <c r="AH38" s="1104"/>
      <c r="AI38" s="1104"/>
      <c r="AJ38" s="1104"/>
      <c r="AK38" s="1104"/>
      <c r="AL38" s="1104"/>
      <c r="AM38" s="1104"/>
      <c r="AN38" s="1104"/>
      <c r="AW38" s="111">
        <v>0</v>
      </c>
    </row>
    <row r="39" spans="2:49" ht="18.75" hidden="1" customHeight="1">
      <c r="U39" s="1103" t="s">
        <v>427</v>
      </c>
      <c r="V39" s="1103"/>
      <c r="W39" s="337"/>
      <c r="X39" s="1105" t="str">
        <f>IF(TITLE_NUMBER_PR_CHANGE="",IF(TITLE_NUMBER_PR="","",TITLE_NUMBER_PR),TITLE_NUMBER_PR_CHANGE)</f>
        <v/>
      </c>
      <c r="Y39" s="1105"/>
      <c r="Z39" s="1105"/>
      <c r="AA39" s="1105"/>
      <c r="AB39" s="1105"/>
      <c r="AC39" s="1105"/>
      <c r="AD39" s="1105"/>
      <c r="AE39" s="1105"/>
      <c r="AG39" s="1105" t="str">
        <f>IF(TITLE_NUMBER_PR_CHANGE="",IF(TITLE_NUMBER_PR="","",TITLE_NUMBER_PR),TITLE_NUMBER_PR_CHANGE)</f>
        <v/>
      </c>
      <c r="AH39" s="1105"/>
      <c r="AI39" s="1105"/>
      <c r="AJ39" s="1105"/>
      <c r="AK39" s="1105"/>
      <c r="AL39" s="1105"/>
      <c r="AM39" s="1105"/>
      <c r="AN39" s="1105"/>
      <c r="AW39" s="111">
        <v>0</v>
      </c>
    </row>
    <row r="40" spans="2:49" ht="0" hidden="1" customHeight="1">
      <c r="AF40" s="75" t="s">
        <v>428</v>
      </c>
      <c r="AO40" s="75" t="s">
        <v>428</v>
      </c>
      <c r="AW40" s="111">
        <v>0</v>
      </c>
    </row>
    <row r="41" spans="2:49" ht="14.65" customHeight="1">
      <c r="R41" s="333"/>
      <c r="S41" s="333"/>
      <c r="T41" s="333"/>
      <c r="U41" s="334"/>
      <c r="V41" s="38"/>
      <c r="W41" s="339"/>
      <c r="X41" s="1123"/>
      <c r="Y41" s="1123"/>
      <c r="Z41" s="1123"/>
      <c r="AA41" s="1123"/>
      <c r="AB41" s="1123"/>
      <c r="AC41" s="1123"/>
      <c r="AD41" s="1123"/>
      <c r="AE41" s="1123"/>
      <c r="AF41" s="1123"/>
      <c r="AG41" s="1123"/>
      <c r="AH41" s="1123"/>
      <c r="AI41" s="1123"/>
      <c r="AJ41" s="1123"/>
      <c r="AK41" s="1123"/>
      <c r="AL41" s="1123"/>
      <c r="AM41" s="1123"/>
      <c r="AN41" s="1123"/>
      <c r="AO41" s="1123"/>
      <c r="AW41" s="17">
        <v>14</v>
      </c>
    </row>
    <row r="42" spans="2:49" ht="14.65" customHeight="1">
      <c r="R42" s="333"/>
      <c r="S42" s="333"/>
      <c r="T42" s="333"/>
      <c r="U42" s="995" t="s">
        <v>301</v>
      </c>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t="s">
        <v>302</v>
      </c>
      <c r="AW42" s="17">
        <v>14</v>
      </c>
    </row>
    <row r="43" spans="2:49" ht="14.65" customHeight="1">
      <c r="R43" s="333"/>
      <c r="S43" s="333"/>
      <c r="T43" s="333"/>
      <c r="U43" s="1124" t="s">
        <v>88</v>
      </c>
      <c r="V43" s="1073" t="s">
        <v>429</v>
      </c>
      <c r="W43" s="341"/>
      <c r="X43" s="1125" t="s">
        <v>430</v>
      </c>
      <c r="Y43" s="1141"/>
      <c r="Z43" s="1141"/>
      <c r="AA43" s="1141"/>
      <c r="AB43" s="1141"/>
      <c r="AC43" s="1126"/>
      <c r="AD43" s="1126"/>
      <c r="AE43" s="1127"/>
      <c r="AF43" s="1128" t="s">
        <v>431</v>
      </c>
      <c r="AG43" s="1125" t="s">
        <v>430</v>
      </c>
      <c r="AH43" s="1141"/>
      <c r="AI43" s="1141"/>
      <c r="AJ43" s="1141"/>
      <c r="AK43" s="1141"/>
      <c r="AL43" s="1126"/>
      <c r="AM43" s="1126"/>
      <c r="AN43" s="1127"/>
      <c r="AO43" s="1128" t="s">
        <v>432</v>
      </c>
      <c r="AP43" s="1131" t="s">
        <v>433</v>
      </c>
      <c r="AQ43" s="995"/>
      <c r="AW43" s="17">
        <v>14</v>
      </c>
    </row>
    <row r="44" spans="2:49" ht="35.65" customHeight="1">
      <c r="R44" s="333"/>
      <c r="S44" s="333"/>
      <c r="T44" s="333"/>
      <c r="U44" s="1124"/>
      <c r="V44" s="1073"/>
      <c r="W44" s="343"/>
      <c r="X44" s="1047" t="s">
        <v>456</v>
      </c>
      <c r="Y44" s="995" t="s">
        <v>457</v>
      </c>
      <c r="Z44" s="995"/>
      <c r="AA44" s="995"/>
      <c r="AB44" s="995"/>
      <c r="AC44" s="1047" t="s">
        <v>437</v>
      </c>
      <c r="AD44" s="1153"/>
      <c r="AE44" s="1048"/>
      <c r="AF44" s="1129"/>
      <c r="AG44" s="1047" t="s">
        <v>456</v>
      </c>
      <c r="AH44" s="995" t="s">
        <v>457</v>
      </c>
      <c r="AI44" s="995"/>
      <c r="AJ44" s="995"/>
      <c r="AK44" s="995"/>
      <c r="AL44" s="1047" t="s">
        <v>437</v>
      </c>
      <c r="AM44" s="1153"/>
      <c r="AN44" s="1048"/>
      <c r="AO44" s="1129"/>
      <c r="AP44" s="1132"/>
      <c r="AQ44" s="995"/>
      <c r="AW44" s="17">
        <v>34</v>
      </c>
    </row>
    <row r="45" spans="2:49" ht="14.65" customHeight="1">
      <c r="R45" s="333"/>
      <c r="S45" s="333"/>
      <c r="T45" s="333"/>
      <c r="U45" s="1124"/>
      <c r="V45" s="1073"/>
      <c r="W45" s="343"/>
      <c r="X45" s="1049"/>
      <c r="Y45" s="1079" t="s">
        <v>458</v>
      </c>
      <c r="Z45" s="1078" t="s">
        <v>459</v>
      </c>
      <c r="AA45" s="1091"/>
      <c r="AB45" s="1092"/>
      <c r="AC45" s="1052"/>
      <c r="AD45" s="1154"/>
      <c r="AE45" s="1053"/>
      <c r="AF45" s="1129"/>
      <c r="AG45" s="1049"/>
      <c r="AH45" s="1079" t="s">
        <v>458</v>
      </c>
      <c r="AI45" s="1078" t="s">
        <v>459</v>
      </c>
      <c r="AJ45" s="1091"/>
      <c r="AK45" s="1092"/>
      <c r="AL45" s="1052"/>
      <c r="AM45" s="1154"/>
      <c r="AN45" s="1053"/>
      <c r="AO45" s="1129"/>
      <c r="AP45" s="1132"/>
      <c r="AQ45" s="995"/>
      <c r="AW45" s="17">
        <v>14</v>
      </c>
    </row>
    <row r="46" spans="2:49" ht="27.4" customHeight="1">
      <c r="R46" s="333"/>
      <c r="S46" s="333"/>
      <c r="T46" s="333"/>
      <c r="U46" s="1124"/>
      <c r="V46" s="1073"/>
      <c r="W46" s="343"/>
      <c r="X46" s="1049"/>
      <c r="Y46" s="1152"/>
      <c r="Z46" s="1079" t="s">
        <v>460</v>
      </c>
      <c r="AA46" s="1078" t="s">
        <v>461</v>
      </c>
      <c r="AB46" s="1092"/>
      <c r="AC46" s="1079" t="s">
        <v>447</v>
      </c>
      <c r="AD46" s="1083" t="s">
        <v>448</v>
      </c>
      <c r="AE46" s="1081"/>
      <c r="AF46" s="1129"/>
      <c r="AG46" s="1049"/>
      <c r="AH46" s="1152"/>
      <c r="AI46" s="1079" t="s">
        <v>460</v>
      </c>
      <c r="AJ46" s="1078" t="s">
        <v>461</v>
      </c>
      <c r="AK46" s="1092"/>
      <c r="AL46" s="1079" t="s">
        <v>447</v>
      </c>
      <c r="AM46" s="1083" t="s">
        <v>448</v>
      </c>
      <c r="AN46" s="1081"/>
      <c r="AO46" s="1129"/>
      <c r="AP46" s="1132"/>
      <c r="AQ46" s="995"/>
      <c r="AW46" s="17">
        <v>26</v>
      </c>
    </row>
    <row r="47" spans="2:49" ht="65.25" customHeight="1">
      <c r="B47" s="125" t="s">
        <v>138</v>
      </c>
      <c r="C47" s="125" t="s">
        <v>139</v>
      </c>
      <c r="D47" s="125" t="s">
        <v>140</v>
      </c>
      <c r="E47" s="358" t="s">
        <v>438</v>
      </c>
      <c r="F47" s="358" t="s">
        <v>439</v>
      </c>
      <c r="G47" s="358" t="s">
        <v>440</v>
      </c>
      <c r="H47" s="358" t="s">
        <v>441</v>
      </c>
      <c r="I47" s="358" t="s">
        <v>442</v>
      </c>
      <c r="J47" s="358" t="s">
        <v>443</v>
      </c>
      <c r="K47" s="358" t="s">
        <v>444</v>
      </c>
      <c r="L47" s="358" t="s">
        <v>462</v>
      </c>
      <c r="M47" s="358" t="s">
        <v>419</v>
      </c>
      <c r="R47" s="333"/>
      <c r="S47" s="333"/>
      <c r="T47" s="333"/>
      <c r="U47" s="1124"/>
      <c r="V47" s="1073"/>
      <c r="W47" s="344"/>
      <c r="X47" s="1052"/>
      <c r="Y47" s="1080"/>
      <c r="Z47" s="1080"/>
      <c r="AA47" s="134" t="s">
        <v>463</v>
      </c>
      <c r="AB47" s="134" t="s">
        <v>464</v>
      </c>
      <c r="AC47" s="1080"/>
      <c r="AD47" s="1084"/>
      <c r="AE47" s="1082"/>
      <c r="AF47" s="1130"/>
      <c r="AG47" s="1052"/>
      <c r="AH47" s="1080"/>
      <c r="AI47" s="1080"/>
      <c r="AJ47" s="134" t="s">
        <v>463</v>
      </c>
      <c r="AK47" s="134" t="s">
        <v>464</v>
      </c>
      <c r="AL47" s="1080"/>
      <c r="AM47" s="1084"/>
      <c r="AN47" s="1082"/>
      <c r="AO47" s="1130"/>
      <c r="AP47" s="1133"/>
      <c r="AQ47" s="995"/>
      <c r="AW47" s="17">
        <v>62</v>
      </c>
    </row>
    <row r="48" spans="2:49" ht="11.25" hidden="1" customHeight="1">
      <c r="R48" s="347"/>
      <c r="S48" s="348">
        <v>1</v>
      </c>
      <c r="T48" s="348"/>
      <c r="U48" s="349" t="s">
        <v>110</v>
      </c>
      <c r="V48" s="350" t="s">
        <v>111</v>
      </c>
      <c r="W48" s="351" t="str">
        <f ca="1">OFFSET(W48,0,-1)</f>
        <v>2</v>
      </c>
      <c r="X48" s="352">
        <f ca="1">OFFSET(X48,0,-1)+1</f>
        <v>3</v>
      </c>
      <c r="Y48" s="254"/>
      <c r="Z48" s="254"/>
      <c r="AA48" s="254">
        <f ca="1">OFFSET(AA48,0,-1)+1</f>
        <v>1</v>
      </c>
      <c r="AB48" s="254">
        <f ca="1">OFFSET(AB48,0,-1)+1</f>
        <v>2</v>
      </c>
      <c r="AC48" s="352">
        <f ca="1">OFFSET(AC48,0,-1)+1</f>
        <v>3</v>
      </c>
      <c r="AD48" s="1122">
        <f ca="1">OFFSET(AD48,0,-1)+1</f>
        <v>4</v>
      </c>
      <c r="AE48" s="1122"/>
      <c r="AF48" s="352">
        <f ca="1">OFFSET(AF48,0,-2)+1</f>
        <v>5</v>
      </c>
      <c r="AG48" s="352">
        <f ca="1">OFFSET(AG48,0,-1)+1</f>
        <v>6</v>
      </c>
      <c r="AH48" s="352"/>
      <c r="AI48" s="352"/>
      <c r="AJ48" s="352">
        <f ca="1">OFFSET(AJ48,0,-1)+1</f>
        <v>1</v>
      </c>
      <c r="AK48" s="352">
        <f ca="1">OFFSET(AK48,0,-1)+1</f>
        <v>2</v>
      </c>
      <c r="AL48" s="352">
        <f ca="1">OFFSET(AL48,0,-1)+1</f>
        <v>3</v>
      </c>
      <c r="AM48" s="1122">
        <f ca="1">OFFSET(AM48,0,-1)+1</f>
        <v>4</v>
      </c>
      <c r="AN48" s="1122"/>
      <c r="AO48" s="352">
        <f ca="1">OFFSET(AO48,0,-2)+1</f>
        <v>5</v>
      </c>
      <c r="AP48" s="351">
        <f ca="1">OFFSET(AP48,0,-1)</f>
        <v>5</v>
      </c>
      <c r="AQ48" s="352">
        <f ca="1">OFFSET(AQ48,0,-1)+1</f>
        <v>6</v>
      </c>
      <c r="AW48" s="258">
        <v>0</v>
      </c>
    </row>
    <row r="49" spans="1:49" ht="21.95" customHeight="1">
      <c r="A49" s="145" t="s">
        <v>177</v>
      </c>
      <c r="E49" s="1137">
        <v>1</v>
      </c>
      <c r="T49" s="294"/>
      <c r="U49" s="295">
        <f>INDEX(PT_DIFFERENTIATION_NUM_NTAR,MATCH(A49,PT_DIFFERENTIATION_NTAR_ID,0))</f>
        <v>0</v>
      </c>
      <c r="V49" s="296" t="s">
        <v>126</v>
      </c>
      <c r="W49" s="297"/>
      <c r="X49" s="1106"/>
      <c r="Y49" s="1107"/>
      <c r="Z49" s="1107"/>
      <c r="AA49" s="1107"/>
      <c r="AB49" s="1107"/>
      <c r="AC49" s="1107"/>
      <c r="AD49" s="1107"/>
      <c r="AE49" s="1107"/>
      <c r="AF49" s="1108"/>
      <c r="AG49" s="1106" t="str">
        <f>INDEX(PT_DIFFERENTIATION_NTAR,MATCH(A49,PT_DIFFERENTIATION_NTAR_ID,0))</f>
        <v/>
      </c>
      <c r="AH49" s="1107"/>
      <c r="AI49" s="1107"/>
      <c r="AJ49" s="1107"/>
      <c r="AK49" s="1107"/>
      <c r="AL49" s="1107"/>
      <c r="AM49" s="1107"/>
      <c r="AN49" s="1107"/>
      <c r="AO49" s="1107"/>
      <c r="AP49" s="1108"/>
      <c r="AQ49" s="2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87" t="str">
        <f t="shared" ref="AT49:AT65" si="2">IF(V49="","",V49)</f>
        <v>Наименование тарифа</v>
      </c>
      <c r="AW49" s="17">
        <v>21</v>
      </c>
    </row>
    <row r="50" spans="1:49" ht="21.95" customHeight="1">
      <c r="A50" s="145" t="s">
        <v>177</v>
      </c>
      <c r="B50" s="145" t="s">
        <v>178</v>
      </c>
      <c r="E50" s="1138"/>
      <c r="F50" s="1137">
        <v>1</v>
      </c>
      <c r="R50" s="300"/>
      <c r="T50" s="301"/>
      <c r="U50" s="295" t="str">
        <f>INDEX(PT_DIFFERENTIATION_NUM_TER,MATCH(B50,PT_DIFFERENTIATION_TER_ID,0))</f>
        <v>.</v>
      </c>
      <c r="V50" s="302" t="s">
        <v>398</v>
      </c>
      <c r="W50" s="297"/>
      <c r="X50" s="1106"/>
      <c r="Y50" s="1107"/>
      <c r="Z50" s="1107"/>
      <c r="AA50" s="1107"/>
      <c r="AB50" s="1107"/>
      <c r="AC50" s="1107"/>
      <c r="AD50" s="1107"/>
      <c r="AE50" s="1107"/>
      <c r="AF50" s="1108"/>
      <c r="AG50" s="1106" t="str">
        <f>INDEX(PT_DIFFERENTIATION_TER,MATCH(B50,PT_DIFFERENTIATION_TER_ID,0))</f>
        <v/>
      </c>
      <c r="AH50" s="1107"/>
      <c r="AI50" s="1107"/>
      <c r="AJ50" s="1107"/>
      <c r="AK50" s="1107"/>
      <c r="AL50" s="1107"/>
      <c r="AM50" s="1107"/>
      <c r="AN50" s="1107"/>
      <c r="AO50" s="1107"/>
      <c r="AP50" s="1108"/>
      <c r="AQ50" s="299" t="s">
        <v>399</v>
      </c>
      <c r="AT50" s="87" t="str">
        <f t="shared" si="2"/>
        <v>Территория действия тарифа</v>
      </c>
      <c r="AW50" s="17">
        <v>21</v>
      </c>
    </row>
    <row r="51" spans="1:49" ht="24" customHeight="1">
      <c r="A51" s="145" t="s">
        <v>177</v>
      </c>
      <c r="B51" s="145" t="s">
        <v>178</v>
      </c>
      <c r="C51" s="145" t="s">
        <v>179</v>
      </c>
      <c r="E51" s="1138"/>
      <c r="F51" s="1138"/>
      <c r="G51" s="1137">
        <v>1</v>
      </c>
      <c r="R51" s="300"/>
      <c r="T51" s="301"/>
      <c r="U51" s="295" t="str">
        <f>INDEX(PT_DIFFERENTIATION_NUM_CS,MATCH(C51,PT_DIFFERENTIATION_CS_ID,0))</f>
        <v>..</v>
      </c>
      <c r="V51" s="303" t="s">
        <v>400</v>
      </c>
      <c r="W51" s="297"/>
      <c r="X51" s="1106"/>
      <c r="Y51" s="1107"/>
      <c r="Z51" s="1107"/>
      <c r="AA51" s="1107"/>
      <c r="AB51" s="1107"/>
      <c r="AC51" s="1107"/>
      <c r="AD51" s="1107"/>
      <c r="AE51" s="1107"/>
      <c r="AF51" s="1108"/>
      <c r="AG51" s="1106" t="str">
        <f>INDEX(PT_DIFFERENTIATION_CS,MATCH(C51,PT_DIFFERENTIATION_CS_ID,0))</f>
        <v/>
      </c>
      <c r="AH51" s="1107"/>
      <c r="AI51" s="1107"/>
      <c r="AJ51" s="1107"/>
      <c r="AK51" s="1107"/>
      <c r="AL51" s="1107"/>
      <c r="AM51" s="1107"/>
      <c r="AN51" s="1107"/>
      <c r="AO51" s="1107"/>
      <c r="AP51" s="1108"/>
      <c r="AQ51" s="299" t="s">
        <v>401</v>
      </c>
      <c r="AT51" s="87" t="str">
        <f t="shared" si="2"/>
        <v xml:space="preserve">Наименование системы теплоснабжения </v>
      </c>
      <c r="AW51" s="17">
        <v>23</v>
      </c>
    </row>
    <row r="52" spans="1:49" ht="21.95" customHeight="1">
      <c r="A52" s="145" t="s">
        <v>177</v>
      </c>
      <c r="B52" s="145" t="s">
        <v>178</v>
      </c>
      <c r="C52" s="145" t="s">
        <v>179</v>
      </c>
      <c r="D52" s="145" t="s">
        <v>180</v>
      </c>
      <c r="E52" s="1138"/>
      <c r="F52" s="1138"/>
      <c r="G52" s="1138"/>
      <c r="H52" s="1137">
        <v>1</v>
      </c>
      <c r="R52" s="300"/>
      <c r="T52" s="301"/>
      <c r="U52" s="295" t="str">
        <f>INDEX(PT_DIFFERENTIATION_NUM_IST_TE,MATCH(D52,PT_DIFFERENTIATION_IST_TE_ID,0))</f>
        <v>...</v>
      </c>
      <c r="V52" s="304" t="s">
        <v>402</v>
      </c>
      <c r="W52" s="297"/>
      <c r="X52" s="1106"/>
      <c r="Y52" s="1107"/>
      <c r="Z52" s="1107"/>
      <c r="AA52" s="1107"/>
      <c r="AB52" s="1107"/>
      <c r="AC52" s="1107"/>
      <c r="AD52" s="1107"/>
      <c r="AE52" s="1107"/>
      <c r="AF52" s="1108"/>
      <c r="AG52" s="1106" t="str">
        <f>INDEX(PT_DIFFERENTIATION_IST_TE,MATCH(D52,PT_DIFFERENTIATION_IST_TE_ID,0))</f>
        <v/>
      </c>
      <c r="AH52" s="1107"/>
      <c r="AI52" s="1107"/>
      <c r="AJ52" s="1107"/>
      <c r="AK52" s="1107"/>
      <c r="AL52" s="1107"/>
      <c r="AM52" s="1107"/>
      <c r="AN52" s="1107"/>
      <c r="AO52" s="1107"/>
      <c r="AP52" s="1108"/>
      <c r="AQ52" s="299" t="s">
        <v>403</v>
      </c>
      <c r="AT52" s="87" t="str">
        <f t="shared" si="2"/>
        <v xml:space="preserve">Источник тепловой энергии  </v>
      </c>
      <c r="AW52" s="17">
        <v>21</v>
      </c>
    </row>
    <row r="53" spans="1:49" ht="0" hidden="1" customHeight="1">
      <c r="A53" s="360" t="s">
        <v>177</v>
      </c>
      <c r="B53" s="360" t="s">
        <v>178</v>
      </c>
      <c r="C53" s="360" t="s">
        <v>179</v>
      </c>
      <c r="D53" s="360" t="s">
        <v>180</v>
      </c>
      <c r="E53" s="1138"/>
      <c r="F53" s="1138"/>
      <c r="G53" s="1138"/>
      <c r="H53" s="1138"/>
      <c r="I53" s="995" t="str">
        <f>U52&amp;".1"</f>
        <v>....1</v>
      </c>
      <c r="M53" s="396" t="s">
        <v>404</v>
      </c>
      <c r="Q53" s="1115">
        <v>1</v>
      </c>
      <c r="T53" s="307"/>
      <c r="U53" s="193"/>
      <c r="V53" s="363"/>
      <c r="W53" s="364"/>
      <c r="X53" s="1142"/>
      <c r="Y53" s="1143"/>
      <c r="Z53" s="1143"/>
      <c r="AA53" s="1143"/>
      <c r="AB53" s="1143"/>
      <c r="AC53" s="1143"/>
      <c r="AD53" s="1143"/>
      <c r="AE53" s="1143"/>
      <c r="AF53" s="1144"/>
      <c r="AG53" s="1142"/>
      <c r="AH53" s="1143"/>
      <c r="AI53" s="1143"/>
      <c r="AJ53" s="1143"/>
      <c r="AK53" s="1143"/>
      <c r="AL53" s="1143"/>
      <c r="AM53" s="1143"/>
      <c r="AN53" s="1143"/>
      <c r="AO53" s="1143"/>
      <c r="AP53" s="1144"/>
      <c r="AQ53" s="366"/>
      <c r="AT53" s="87" t="str">
        <f t="shared" si="2"/>
        <v/>
      </c>
      <c r="AW53" s="75">
        <v>0</v>
      </c>
    </row>
    <row r="54" spans="1:49" ht="21.95" customHeight="1">
      <c r="A54" s="145" t="s">
        <v>177</v>
      </c>
      <c r="B54" s="145" t="s">
        <v>178</v>
      </c>
      <c r="C54" s="145" t="s">
        <v>179</v>
      </c>
      <c r="D54" s="145" t="s">
        <v>180</v>
      </c>
      <c r="E54" s="1138"/>
      <c r="F54" s="1138"/>
      <c r="G54" s="1138"/>
      <c r="H54" s="1138"/>
      <c r="I54" s="977"/>
      <c r="J54" s="995" t="str">
        <f>I53&amp;".1"</f>
        <v>....1.1</v>
      </c>
      <c r="M54" s="358" t="s">
        <v>407</v>
      </c>
      <c r="Q54" s="964"/>
      <c r="R54" s="1115">
        <v>1</v>
      </c>
      <c r="T54" s="309"/>
      <c r="U54" s="295" t="str">
        <f>$J54</f>
        <v>....1.1</v>
      </c>
      <c r="V54" s="310" t="s">
        <v>408</v>
      </c>
      <c r="W54" s="297"/>
      <c r="X54" s="1100"/>
      <c r="Y54" s="1101"/>
      <c r="Z54" s="1101"/>
      <c r="AA54" s="1101"/>
      <c r="AB54" s="1101"/>
      <c r="AC54" s="1096"/>
      <c r="AD54" s="1096"/>
      <c r="AE54" s="1096"/>
      <c r="AF54" s="1155"/>
      <c r="AG54" s="1100"/>
      <c r="AH54" s="1101"/>
      <c r="AI54" s="1101"/>
      <c r="AJ54" s="1101"/>
      <c r="AK54" s="1101"/>
      <c r="AL54" s="1101"/>
      <c r="AM54" s="1101"/>
      <c r="AN54" s="1101"/>
      <c r="AO54" s="1101"/>
      <c r="AP54" s="1102"/>
      <c r="AQ54" s="299" t="s">
        <v>409</v>
      </c>
      <c r="AT54" s="87" t="str">
        <f t="shared" si="2"/>
        <v>Группа потребителей</v>
      </c>
      <c r="AW54" s="17">
        <v>21</v>
      </c>
    </row>
    <row r="55" spans="1:49" ht="21.95" customHeight="1">
      <c r="A55" s="145" t="s">
        <v>177</v>
      </c>
      <c r="B55" s="145" t="s">
        <v>178</v>
      </c>
      <c r="C55" s="145" t="s">
        <v>179</v>
      </c>
      <c r="D55" s="145" t="s">
        <v>180</v>
      </c>
      <c r="E55" s="1138"/>
      <c r="F55" s="1138"/>
      <c r="G55" s="1138"/>
      <c r="H55" s="1138"/>
      <c r="I55" s="977"/>
      <c r="J55" s="977"/>
      <c r="K55" s="995" t="str">
        <f>J54&amp;".1"</f>
        <v>....1.1.1</v>
      </c>
      <c r="M55" s="358" t="s">
        <v>410</v>
      </c>
      <c r="Q55" s="964"/>
      <c r="R55" s="964"/>
      <c r="S55" s="75">
        <v>1</v>
      </c>
      <c r="T55" s="309"/>
      <c r="U55" s="295" t="str">
        <f>$K55</f>
        <v>....1.1.1</v>
      </c>
      <c r="V55" s="311"/>
      <c r="W55" s="297"/>
      <c r="X55" s="312"/>
      <c r="Y55" s="312"/>
      <c r="Z55" s="312"/>
      <c r="AA55" s="312"/>
      <c r="AB55" s="384"/>
      <c r="AC55" s="1116"/>
      <c r="AD55" s="1004" t="s">
        <v>66</v>
      </c>
      <c r="AE55" s="1116"/>
      <c r="AF55" s="1004" t="s">
        <v>66</v>
      </c>
      <c r="AG55" s="385"/>
      <c r="AH55" s="312"/>
      <c r="AI55" s="312"/>
      <c r="AJ55" s="312"/>
      <c r="AK55" s="314"/>
      <c r="AL55" s="1116"/>
      <c r="AM55" s="1004" t="s">
        <v>66</v>
      </c>
      <c r="AN55" s="1116"/>
      <c r="AO55" s="1004" t="s">
        <v>66</v>
      </c>
      <c r="AP55" s="354"/>
      <c r="AQ55" s="386" t="s">
        <v>453</v>
      </c>
      <c r="AR55" s="75" t="e">
        <f ca="1">STRCHECKDATE(X57:AP57)</f>
        <v>#NAME?</v>
      </c>
      <c r="AT55" s="87" t="str">
        <f t="shared" si="2"/>
        <v/>
      </c>
      <c r="AW55" s="17">
        <v>21</v>
      </c>
    </row>
    <row r="56" spans="1:49" ht="11.45" customHeight="1">
      <c r="A56" s="145" t="s">
        <v>177</v>
      </c>
      <c r="B56" s="145" t="s">
        <v>178</v>
      </c>
      <c r="C56" s="145" t="s">
        <v>179</v>
      </c>
      <c r="D56" s="145" t="s">
        <v>180</v>
      </c>
      <c r="E56" s="1138"/>
      <c r="F56" s="1138"/>
      <c r="G56" s="1138"/>
      <c r="H56" s="1138"/>
      <c r="I56" s="977"/>
      <c r="J56" s="977"/>
      <c r="K56" s="977"/>
      <c r="L56" s="995" t="str">
        <f>K55&amp;".1"</f>
        <v>....1.1.1.1</v>
      </c>
      <c r="Q56" s="964"/>
      <c r="R56" s="964"/>
      <c r="S56" s="75">
        <v>1</v>
      </c>
      <c r="T56" s="309"/>
      <c r="U56" s="295" t="str">
        <f>$L56</f>
        <v>....1.1.1.1</v>
      </c>
      <c r="V56" s="387"/>
      <c r="W56" s="297"/>
      <c r="X56" s="313"/>
      <c r="Y56" s="312"/>
      <c r="Z56" s="312"/>
      <c r="AA56" s="312"/>
      <c r="AB56" s="384"/>
      <c r="AC56" s="1117"/>
      <c r="AD56" s="1004"/>
      <c r="AE56" s="1117"/>
      <c r="AF56" s="1004"/>
      <c r="AG56" s="385"/>
      <c r="AH56" s="312"/>
      <c r="AI56" s="312"/>
      <c r="AJ56" s="312"/>
      <c r="AK56" s="314"/>
      <c r="AL56" s="1117"/>
      <c r="AM56" s="1004"/>
      <c r="AN56" s="1117"/>
      <c r="AO56" s="1004"/>
      <c r="AP56" s="354"/>
      <c r="AQ56" s="1134" t="s">
        <v>454</v>
      </c>
      <c r="AR56" s="75" t="e">
        <f ca="1">STRCHECKDATE(X58:AP58)</f>
        <v>#NAME?</v>
      </c>
      <c r="AT56" s="87" t="str">
        <f t="shared" si="2"/>
        <v/>
      </c>
      <c r="AW56" s="17">
        <v>11</v>
      </c>
    </row>
    <row r="57" spans="1:49" ht="0" hidden="1" customHeight="1">
      <c r="A57" s="145" t="s">
        <v>177</v>
      </c>
      <c r="B57" s="145" t="s">
        <v>178</v>
      </c>
      <c r="C57" s="145" t="s">
        <v>179</v>
      </c>
      <c r="D57" s="145" t="s">
        <v>180</v>
      </c>
      <c r="E57" s="1138"/>
      <c r="F57" s="1138"/>
      <c r="G57" s="1138"/>
      <c r="H57" s="1138"/>
      <c r="I57" s="977"/>
      <c r="J57" s="977"/>
      <c r="K57" s="977"/>
      <c r="L57" s="995"/>
      <c r="Q57" s="964"/>
      <c r="R57" s="964"/>
      <c r="T57" s="309"/>
      <c r="U57" s="278"/>
      <c r="V57" s="297"/>
      <c r="W57" s="297"/>
      <c r="X57" s="313"/>
      <c r="Y57" s="313"/>
      <c r="Z57" s="313"/>
      <c r="AA57" s="313"/>
      <c r="AB57" s="388" t="str">
        <f>AC55&amp;"-"&amp;AE55</f>
        <v>-</v>
      </c>
      <c r="AC57" s="1117"/>
      <c r="AD57" s="1004"/>
      <c r="AE57" s="1117"/>
      <c r="AF57" s="1004"/>
      <c r="AG57" s="389"/>
      <c r="AH57" s="313"/>
      <c r="AI57" s="313"/>
      <c r="AJ57" s="313"/>
      <c r="AK57" s="316" t="str">
        <f>AL55&amp;"-"&amp;AN55</f>
        <v>-</v>
      </c>
      <c r="AL57" s="1117"/>
      <c r="AM57" s="1004"/>
      <c r="AN57" s="1117"/>
      <c r="AO57" s="1004"/>
      <c r="AP57" s="355"/>
      <c r="AQ57" s="1135"/>
      <c r="AT57" s="87" t="str">
        <f t="shared" si="2"/>
        <v/>
      </c>
      <c r="AW57" s="17">
        <v>0</v>
      </c>
    </row>
    <row r="58" spans="1:49" ht="11.45" customHeight="1">
      <c r="A58" s="145" t="s">
        <v>177</v>
      </c>
      <c r="B58" s="145" t="s">
        <v>178</v>
      </c>
      <c r="C58" s="145" t="s">
        <v>179</v>
      </c>
      <c r="D58" s="145" t="s">
        <v>180</v>
      </c>
      <c r="E58" s="1138"/>
      <c r="F58" s="1138"/>
      <c r="G58" s="1138"/>
      <c r="H58" s="1138"/>
      <c r="I58" s="977"/>
      <c r="J58" s="977"/>
      <c r="K58" s="995"/>
      <c r="Q58" s="964"/>
      <c r="R58" s="964"/>
      <c r="T58" s="307"/>
      <c r="U58" s="318"/>
      <c r="V58" s="319" t="s">
        <v>455</v>
      </c>
      <c r="W58" s="117"/>
      <c r="X58" s="117"/>
      <c r="Y58" s="117"/>
      <c r="Z58" s="117"/>
      <c r="AA58" s="117"/>
      <c r="AB58" s="117"/>
      <c r="AC58" s="1117"/>
      <c r="AD58" s="1004"/>
      <c r="AE58" s="1117"/>
      <c r="AF58" s="1004"/>
      <c r="AG58" s="117"/>
      <c r="AH58" s="117"/>
      <c r="AI58" s="117"/>
      <c r="AJ58" s="117"/>
      <c r="AK58" s="117"/>
      <c r="AL58" s="1117"/>
      <c r="AM58" s="1004"/>
      <c r="AN58" s="1117"/>
      <c r="AO58" s="1004"/>
      <c r="AP58" s="320"/>
      <c r="AQ58" s="1135"/>
      <c r="AT58" s="87" t="str">
        <f t="shared" si="2"/>
        <v>Добавить наименование поставщика</v>
      </c>
      <c r="AW58" s="17">
        <v>11</v>
      </c>
    </row>
    <row r="59" spans="1:49" ht="11.45" customHeight="1">
      <c r="A59" s="145" t="s">
        <v>177</v>
      </c>
      <c r="B59" s="145" t="s">
        <v>178</v>
      </c>
      <c r="C59" s="145" t="s">
        <v>179</v>
      </c>
      <c r="D59" s="145" t="s">
        <v>180</v>
      </c>
      <c r="E59" s="1138"/>
      <c r="F59" s="1138"/>
      <c r="G59" s="1138"/>
      <c r="H59" s="1138"/>
      <c r="I59" s="977"/>
      <c r="J59" s="995"/>
      <c r="Q59" s="964"/>
      <c r="R59" s="964"/>
      <c r="T59" s="307"/>
      <c r="U59" s="318"/>
      <c r="V59" s="321" t="s">
        <v>412</v>
      </c>
      <c r="W59" s="117"/>
      <c r="X59" s="117"/>
      <c r="Y59" s="117"/>
      <c r="Z59" s="117"/>
      <c r="AA59" s="117"/>
      <c r="AB59" s="117"/>
      <c r="AC59" s="394"/>
      <c r="AD59" s="394"/>
      <c r="AE59" s="394"/>
      <c r="AF59" s="394"/>
      <c r="AG59" s="117"/>
      <c r="AH59" s="117"/>
      <c r="AI59" s="117"/>
      <c r="AJ59" s="117"/>
      <c r="AK59" s="117"/>
      <c r="AL59" s="117"/>
      <c r="AM59" s="117"/>
      <c r="AN59" s="117"/>
      <c r="AO59" s="117"/>
      <c r="AP59" s="320"/>
      <c r="AQ59" s="1136"/>
      <c r="AT59" s="87" t="str">
        <f t="shared" si="2"/>
        <v>Добавить вид теплоносителя (параметры теплоносителя)</v>
      </c>
      <c r="AW59" s="17">
        <v>11</v>
      </c>
    </row>
    <row r="60" spans="1:49" ht="11.45" customHeight="1">
      <c r="A60" s="145" t="s">
        <v>177</v>
      </c>
      <c r="B60" s="145" t="s">
        <v>178</v>
      </c>
      <c r="C60" s="145" t="s">
        <v>179</v>
      </c>
      <c r="D60" s="145" t="s">
        <v>180</v>
      </c>
      <c r="E60" s="1138"/>
      <c r="F60" s="1138"/>
      <c r="G60" s="1138"/>
      <c r="H60" s="1138"/>
      <c r="I60" s="995"/>
      <c r="Q60" s="964"/>
      <c r="T60" s="307"/>
      <c r="U60" s="318"/>
      <c r="V60" s="324" t="s">
        <v>413</v>
      </c>
      <c r="W60" s="117"/>
      <c r="X60" s="117"/>
      <c r="Y60" s="117"/>
      <c r="Z60" s="117"/>
      <c r="AA60" s="117"/>
      <c r="AB60" s="117"/>
      <c r="AC60" s="117"/>
      <c r="AD60" s="117"/>
      <c r="AE60" s="117"/>
      <c r="AF60" s="322"/>
      <c r="AG60" s="117"/>
      <c r="AH60" s="117"/>
      <c r="AI60" s="117"/>
      <c r="AJ60" s="117"/>
      <c r="AK60" s="117"/>
      <c r="AL60" s="117"/>
      <c r="AM60" s="117"/>
      <c r="AN60" s="117"/>
      <c r="AO60" s="322"/>
      <c r="AP60" s="117"/>
      <c r="AQ60" s="323"/>
      <c r="AT60" s="87" t="str">
        <f t="shared" si="2"/>
        <v>Добавить группу потребителей</v>
      </c>
      <c r="AW60" s="17">
        <v>11</v>
      </c>
    </row>
    <row r="61" spans="1:49" ht="0" hidden="1" customHeight="1">
      <c r="A61" s="145" t="s">
        <v>177</v>
      </c>
      <c r="B61" s="145" t="s">
        <v>178</v>
      </c>
      <c r="C61" s="145" t="s">
        <v>179</v>
      </c>
      <c r="D61" s="145" t="s">
        <v>180</v>
      </c>
      <c r="E61" s="1138"/>
      <c r="F61" s="1138"/>
      <c r="G61" s="1138"/>
      <c r="H61" s="1137"/>
      <c r="S61" s="294"/>
      <c r="U61" s="367"/>
      <c r="V61" s="368"/>
      <c r="W61" s="369"/>
      <c r="X61" s="369"/>
      <c r="Y61" s="369"/>
      <c r="Z61" s="369"/>
      <c r="AA61" s="369"/>
      <c r="AB61" s="369"/>
      <c r="AC61" s="369"/>
      <c r="AD61" s="369"/>
      <c r="AE61" s="369"/>
      <c r="AF61" s="369"/>
      <c r="AG61" s="369"/>
      <c r="AH61" s="369"/>
      <c r="AI61" s="369"/>
      <c r="AJ61" s="369"/>
      <c r="AK61" s="369"/>
      <c r="AL61" s="369"/>
      <c r="AM61" s="369"/>
      <c r="AN61" s="369"/>
      <c r="AO61" s="369"/>
      <c r="AP61" s="369"/>
      <c r="AQ61" s="370"/>
      <c r="AT61" s="87" t="str">
        <f t="shared" si="2"/>
        <v/>
      </c>
      <c r="AW61" s="17">
        <v>0</v>
      </c>
    </row>
    <row r="62" spans="1:49" ht="0" hidden="1" customHeight="1">
      <c r="A62" s="360" t="s">
        <v>177</v>
      </c>
      <c r="B62" s="360" t="s">
        <v>178</v>
      </c>
      <c r="C62" s="360" t="s">
        <v>179</v>
      </c>
      <c r="E62" s="1138"/>
      <c r="F62" s="1138"/>
      <c r="G62" s="1137"/>
      <c r="V62" s="329" t="s">
        <v>415</v>
      </c>
      <c r="AT62" s="87" t="str">
        <f t="shared" si="2"/>
        <v>Добавить источник для дифференциации</v>
      </c>
      <c r="AW62" s="75">
        <v>0</v>
      </c>
    </row>
    <row r="63" spans="1:49" ht="0" hidden="1" customHeight="1">
      <c r="A63" s="360" t="s">
        <v>177</v>
      </c>
      <c r="B63" s="360" t="s">
        <v>178</v>
      </c>
      <c r="E63" s="1138"/>
      <c r="F63" s="1137"/>
      <c r="V63" s="329" t="s">
        <v>416</v>
      </c>
      <c r="AT63" s="87" t="str">
        <f t="shared" si="2"/>
        <v>Добавить централизованную систему для дифференциации</v>
      </c>
      <c r="AW63" s="75">
        <v>0</v>
      </c>
    </row>
    <row r="64" spans="1:49" ht="0" hidden="1" customHeight="1">
      <c r="A64" s="360" t="s">
        <v>177</v>
      </c>
      <c r="E64" s="1137"/>
      <c r="V64" s="329" t="s">
        <v>417</v>
      </c>
      <c r="AT64" s="87" t="str">
        <f t="shared" si="2"/>
        <v>Добавить территорию для дифференциации</v>
      </c>
      <c r="AW64" s="75">
        <v>0</v>
      </c>
    </row>
    <row r="65" spans="1:49" ht="4.1500000000000004" customHeight="1">
      <c r="V65" s="329" t="s">
        <v>449</v>
      </c>
      <c r="AT65" s="87" t="str">
        <f t="shared" si="2"/>
        <v>Добавить наименование тарифа</v>
      </c>
      <c r="AW65" s="75">
        <v>4</v>
      </c>
    </row>
    <row r="66" spans="1:49" ht="11.45" customHeight="1">
      <c r="AW66" s="17">
        <v>11</v>
      </c>
    </row>
    <row r="67" spans="1:49" ht="35.65" customHeight="1">
      <c r="V67" s="964"/>
      <c r="W67" s="964"/>
      <c r="X67" s="964"/>
      <c r="Y67" s="964"/>
      <c r="Z67" s="964"/>
      <c r="AA67" s="964"/>
      <c r="AB67" s="964"/>
      <c r="AC67" s="964"/>
      <c r="AD67" s="964"/>
      <c r="AE67" s="964"/>
      <c r="AF67" s="964"/>
      <c r="AG67" s="964"/>
      <c r="AH67" s="964"/>
      <c r="AI67" s="964"/>
      <c r="AJ67" s="964"/>
      <c r="AK67" s="964"/>
      <c r="AL67" s="964"/>
      <c r="AM67" s="964"/>
      <c r="AN67" s="964"/>
      <c r="AO67" s="964"/>
      <c r="AP67" s="964"/>
      <c r="AQ67" s="964"/>
      <c r="AW67" s="17">
        <v>34</v>
      </c>
    </row>
    <row r="68" spans="1:49" ht="21" customHeight="1">
      <c r="V68" s="964"/>
      <c r="W68" s="964"/>
      <c r="X68" s="964"/>
      <c r="Y68" s="964"/>
      <c r="Z68" s="964"/>
      <c r="AA68" s="964"/>
      <c r="AB68" s="964"/>
      <c r="AC68" s="964"/>
      <c r="AD68" s="964"/>
      <c r="AE68" s="964"/>
      <c r="AF68" s="964"/>
      <c r="AG68" s="964"/>
      <c r="AH68" s="964"/>
      <c r="AI68" s="964"/>
      <c r="AJ68" s="964"/>
      <c r="AK68" s="964"/>
      <c r="AL68" s="964"/>
      <c r="AM68" s="964"/>
      <c r="AN68" s="964"/>
      <c r="AO68" s="964"/>
      <c r="AP68" s="964"/>
      <c r="AQ68" s="964"/>
      <c r="AW68" s="17">
        <v>20</v>
      </c>
    </row>
    <row r="69" spans="1:49" ht="14.65" customHeight="1">
      <c r="AW69" s="17">
        <v>14</v>
      </c>
    </row>
    <row r="70" spans="1:49" ht="28.5" customHeight="1">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W70" s="17">
        <v>27</v>
      </c>
    </row>
    <row r="71" spans="1:49" ht="18.75" customHeight="1">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W71" s="17">
        <v>18</v>
      </c>
    </row>
    <row r="72" spans="1:49" ht="22.5" hidden="1" customHeight="1">
      <c r="A72" s="17" t="s">
        <v>82</v>
      </c>
      <c r="B72" s="17">
        <v>0</v>
      </c>
      <c r="C72" s="17">
        <v>0</v>
      </c>
      <c r="D72" s="17">
        <v>0</v>
      </c>
      <c r="E72" s="17">
        <v>0</v>
      </c>
      <c r="F72" s="17">
        <v>0</v>
      </c>
      <c r="G72" s="17">
        <v>0</v>
      </c>
      <c r="H72" s="17">
        <v>0</v>
      </c>
      <c r="I72" s="17">
        <v>0</v>
      </c>
      <c r="J72" s="17">
        <v>0</v>
      </c>
      <c r="K72" s="17">
        <v>0</v>
      </c>
      <c r="L72" s="17">
        <v>0</v>
      </c>
      <c r="M72" s="47">
        <v>0</v>
      </c>
      <c r="N72" s="356">
        <v>0</v>
      </c>
      <c r="O72" s="356">
        <v>0</v>
      </c>
      <c r="P72" s="356">
        <v>0</v>
      </c>
      <c r="Q72" s="356">
        <v>0</v>
      </c>
      <c r="R72" s="357">
        <v>3</v>
      </c>
      <c r="S72" s="357">
        <v>3</v>
      </c>
      <c r="T72" s="357">
        <v>3</v>
      </c>
      <c r="U72" s="33">
        <v>12</v>
      </c>
      <c r="V72" s="17">
        <v>31</v>
      </c>
      <c r="W72" s="17">
        <v>0</v>
      </c>
      <c r="X72" s="17">
        <v>0</v>
      </c>
      <c r="Y72" s="17">
        <v>0</v>
      </c>
      <c r="Z72" s="17">
        <v>0</v>
      </c>
      <c r="AA72" s="17">
        <v>0</v>
      </c>
      <c r="AB72" s="17">
        <v>0</v>
      </c>
      <c r="AC72" s="17">
        <v>0</v>
      </c>
      <c r="AD72" s="17">
        <v>0</v>
      </c>
      <c r="AE72" s="17">
        <v>0</v>
      </c>
      <c r="AF72" s="17">
        <v>0</v>
      </c>
      <c r="AG72" s="17">
        <v>21</v>
      </c>
      <c r="AH72" s="17">
        <v>21</v>
      </c>
      <c r="AI72" s="17">
        <v>21</v>
      </c>
      <c r="AJ72" s="17">
        <v>21</v>
      </c>
      <c r="AK72" s="17">
        <v>21</v>
      </c>
      <c r="AL72" s="17">
        <v>11</v>
      </c>
      <c r="AM72" s="17">
        <v>3</v>
      </c>
      <c r="AN72" s="17">
        <v>11</v>
      </c>
      <c r="AO72" s="17">
        <v>8</v>
      </c>
      <c r="AP72" s="17">
        <v>4</v>
      </c>
      <c r="AQ72" s="17">
        <v>115</v>
      </c>
      <c r="AR72" s="75">
        <v>10</v>
      </c>
      <c r="AS72" s="75">
        <v>10</v>
      </c>
      <c r="AT72" s="75">
        <v>10</v>
      </c>
      <c r="AU72" s="75">
        <v>10</v>
      </c>
      <c r="AV72" s="75">
        <v>10</v>
      </c>
      <c r="AW72" s="17">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CB3F-4567-C2DF-9CA3-E142E63FE23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5.42578125" customWidth="1"/>
    <col min="29" max="30" width="3" customWidth="1"/>
    <col min="31" max="31" width="24" customWidth="1"/>
    <col min="32" max="32" width="3.7109375" customWidth="1"/>
    <col min="33" max="34" width="3" customWidth="1"/>
    <col min="35" max="35" width="24" customWidth="1"/>
    <col min="36" max="36" width="3.7109375" customWidth="1"/>
    <col min="37" max="38" width="3" customWidth="1"/>
    <col min="39" max="39" width="18" customWidth="1"/>
    <col min="40" max="41" width="21" customWidth="1"/>
    <col min="42" max="42" width="11" customWidth="1"/>
    <col min="43" max="43" width="3.7109375" customWidth="1"/>
    <col min="44" max="44" width="11" customWidth="1"/>
    <col min="45" max="45" width="8.5703125" hidden="1" customWidth="1"/>
    <col min="46" max="46" width="4" customWidth="1"/>
    <col min="47" max="47" width="115" customWidth="1"/>
    <col min="48" max="52" width="10" customWidth="1"/>
    <col min="53" max="53" width="10.5703125" hidden="1"/>
  </cols>
  <sheetData>
    <row r="1" spans="5:53" ht="22.5" hidden="1" customHeight="1">
      <c r="BA1" s="17" t="s">
        <v>14</v>
      </c>
    </row>
    <row r="2" spans="5:53" ht="21" hidden="1" customHeight="1">
      <c r="E2" s="1111">
        <v>1</v>
      </c>
      <c r="R2" s="294"/>
      <c r="S2" s="295" t="e">
        <f>INDEX(PT_DIFFERENTIATION_NUM_NTAR,MATCH(A2,PT_DIFFERENTIATION_NTAR_ID,0))</f>
        <v>#N/A</v>
      </c>
      <c r="T2" s="296" t="s">
        <v>126</v>
      </c>
      <c r="U2" s="297"/>
      <c r="V2" s="1107"/>
      <c r="W2" s="1107"/>
      <c r="X2" s="1107"/>
      <c r="Y2" s="1107"/>
      <c r="Z2" s="1107"/>
      <c r="AA2" s="1108"/>
      <c r="AB2" s="1106" t="e">
        <f>INDEX(PT_DIFFERENTIATION_NTAR,MATCH(A2,PT_DIFFERENTIATION_NTAR_ID,0))</f>
        <v>#N/A</v>
      </c>
      <c r="AC2" s="1107"/>
      <c r="AD2" s="1107"/>
      <c r="AE2" s="1107"/>
      <c r="AF2" s="1107"/>
      <c r="AG2" s="1107"/>
      <c r="AH2" s="1107"/>
      <c r="AI2" s="1107"/>
      <c r="AJ2" s="1107"/>
      <c r="AK2" s="1107"/>
      <c r="AL2" s="1107"/>
      <c r="AM2" s="1107"/>
      <c r="AN2" s="1107"/>
      <c r="AO2" s="1107"/>
      <c r="AP2" s="1107"/>
      <c r="AQ2" s="1107"/>
      <c r="AR2" s="1107"/>
      <c r="AS2" s="1107"/>
      <c r="AT2" s="1108"/>
      <c r="AU2" s="299" t="s">
        <v>397</v>
      </c>
      <c r="AX2" s="87" t="str">
        <f t="shared" ref="AX2:AX8" si="0">IF(T2="","",T2)</f>
        <v>Наименование тарифа</v>
      </c>
      <c r="BA2" s="17">
        <v>0</v>
      </c>
    </row>
    <row r="3" spans="5:53" ht="21" hidden="1" customHeight="1">
      <c r="E3" s="1112"/>
      <c r="F3" s="1111">
        <v>1</v>
      </c>
      <c r="Q3" s="397"/>
      <c r="R3" s="301"/>
      <c r="S3" s="295" t="e">
        <f>INDEX(PT_DIFFERENTIATION_NUM_TER,MATCH(B3,PT_DIFFERENTIATION_TER_ID,0))</f>
        <v>#N/A</v>
      </c>
      <c r="T3" s="302" t="s">
        <v>398</v>
      </c>
      <c r="U3" s="297"/>
      <c r="V3" s="1107"/>
      <c r="W3" s="1107"/>
      <c r="X3" s="1107"/>
      <c r="Y3" s="1107"/>
      <c r="Z3" s="1107"/>
      <c r="AA3" s="1108"/>
      <c r="AB3" s="1106" t="e">
        <f>INDEX(PT_DIFFERENTIATION_TER,MATCH(B3,PT_DIFFERENTIATION_TER_ID,0))</f>
        <v>#N/A</v>
      </c>
      <c r="AC3" s="1107"/>
      <c r="AD3" s="1107"/>
      <c r="AE3" s="1107"/>
      <c r="AF3" s="1107"/>
      <c r="AG3" s="1107"/>
      <c r="AH3" s="1107"/>
      <c r="AI3" s="1107"/>
      <c r="AJ3" s="1107"/>
      <c r="AK3" s="1107"/>
      <c r="AL3" s="1107"/>
      <c r="AM3" s="1107"/>
      <c r="AN3" s="1107"/>
      <c r="AO3" s="1107"/>
      <c r="AP3" s="1107"/>
      <c r="AQ3" s="1107"/>
      <c r="AR3" s="1107"/>
      <c r="AS3" s="1107"/>
      <c r="AT3" s="1108"/>
      <c r="AU3" s="299" t="s">
        <v>399</v>
      </c>
      <c r="AX3" s="87" t="str">
        <f t="shared" si="0"/>
        <v>Территория действия тарифа</v>
      </c>
      <c r="BA3" s="17">
        <v>0</v>
      </c>
    </row>
    <row r="4" spans="5:53" ht="22.5" hidden="1" customHeight="1">
      <c r="E4" s="1112"/>
      <c r="F4" s="1112"/>
      <c r="G4" s="1111">
        <v>1</v>
      </c>
      <c r="Q4" s="397"/>
      <c r="R4" s="301"/>
      <c r="S4" s="295" t="e">
        <f>INDEX(PT_DIFFERENTIATION_NUM_CS,MATCH(C4,PT_DIFFERENTIATION_CS_ID,0))</f>
        <v>#N/A</v>
      </c>
      <c r="T4" s="303" t="s">
        <v>400</v>
      </c>
      <c r="U4" s="297"/>
      <c r="V4" s="1107"/>
      <c r="W4" s="1107"/>
      <c r="X4" s="1107"/>
      <c r="Y4" s="1107"/>
      <c r="Z4" s="1107"/>
      <c r="AA4" s="1108"/>
      <c r="AB4" s="1106" t="e">
        <f>INDEX(PT_DIFFERENTIATION_CS,MATCH(C4,PT_DIFFERENTIATION_CS_ID,0))</f>
        <v>#N/A</v>
      </c>
      <c r="AC4" s="1107"/>
      <c r="AD4" s="1107"/>
      <c r="AE4" s="1107"/>
      <c r="AF4" s="1107"/>
      <c r="AG4" s="1107"/>
      <c r="AH4" s="1107"/>
      <c r="AI4" s="1107"/>
      <c r="AJ4" s="1107"/>
      <c r="AK4" s="1107"/>
      <c r="AL4" s="1107"/>
      <c r="AM4" s="1107"/>
      <c r="AN4" s="1107"/>
      <c r="AO4" s="1107"/>
      <c r="AP4" s="1107"/>
      <c r="AQ4" s="1107"/>
      <c r="AR4" s="1107"/>
      <c r="AS4" s="1107"/>
      <c r="AT4" s="1108"/>
      <c r="AU4" s="299" t="s">
        <v>401</v>
      </c>
      <c r="AX4" s="87" t="str">
        <f t="shared" si="0"/>
        <v xml:space="preserve">Наименование системы теплоснабжения </v>
      </c>
      <c r="BA4" s="17">
        <v>0</v>
      </c>
    </row>
    <row r="5" spans="5:53" ht="21" hidden="1" customHeight="1">
      <c r="E5" s="1112"/>
      <c r="F5" s="1112"/>
      <c r="G5" s="1112"/>
      <c r="H5" s="1111">
        <v>1</v>
      </c>
      <c r="Q5" s="397"/>
      <c r="R5" s="301"/>
      <c r="S5" s="295" t="e">
        <f>INDEX(PT_DIFFERENTIATION_NUM_IST_TE,MATCH(D5,PT_DIFFERENTIATION_IST_TE_ID,0))</f>
        <v>#N/A</v>
      </c>
      <c r="T5" s="304" t="s">
        <v>402</v>
      </c>
      <c r="U5" s="297"/>
      <c r="V5" s="1107"/>
      <c r="W5" s="1107"/>
      <c r="X5" s="1107"/>
      <c r="Y5" s="1107"/>
      <c r="Z5" s="1107"/>
      <c r="AA5" s="1108"/>
      <c r="AB5" s="1106" t="e">
        <f>INDEX(PT_DIFFERENTIATION_IST_TE,MATCH(D5,PT_DIFFERENTIATION_IST_TE_ID,0))</f>
        <v>#N/A</v>
      </c>
      <c r="AC5" s="1107"/>
      <c r="AD5" s="1107"/>
      <c r="AE5" s="1107"/>
      <c r="AF5" s="1107"/>
      <c r="AG5" s="1107"/>
      <c r="AH5" s="1107"/>
      <c r="AI5" s="1107"/>
      <c r="AJ5" s="1107"/>
      <c r="AK5" s="1107"/>
      <c r="AL5" s="1107"/>
      <c r="AM5" s="1107"/>
      <c r="AN5" s="1107"/>
      <c r="AO5" s="1107"/>
      <c r="AP5" s="1107"/>
      <c r="AQ5" s="1107"/>
      <c r="AR5" s="1107"/>
      <c r="AS5" s="1107"/>
      <c r="AT5" s="1108"/>
      <c r="AU5" s="299" t="s">
        <v>403</v>
      </c>
      <c r="AX5" s="87" t="str">
        <f t="shared" si="0"/>
        <v xml:space="preserve">Источник тепловой энергии  </v>
      </c>
      <c r="BA5" s="17">
        <v>0</v>
      </c>
    </row>
    <row r="6" spans="5:53" ht="0.75" hidden="1" customHeight="1">
      <c r="E6" s="1112"/>
      <c r="F6" s="1112"/>
      <c r="G6" s="1112"/>
      <c r="H6" s="1112"/>
      <c r="I6" s="1113" t="e">
        <f>S5&amp;".1"</f>
        <v>#N/A</v>
      </c>
      <c r="L6" s="371" t="s">
        <v>404</v>
      </c>
      <c r="P6" s="1115">
        <v>1</v>
      </c>
      <c r="R6" s="307"/>
      <c r="S6" s="193"/>
      <c r="T6" s="363"/>
      <c r="U6" s="364"/>
      <c r="V6" s="1143"/>
      <c r="W6" s="1143"/>
      <c r="X6" s="1143"/>
      <c r="Y6" s="1143"/>
      <c r="Z6" s="1143"/>
      <c r="AA6" s="1144"/>
      <c r="AB6" s="1142"/>
      <c r="AC6" s="1143"/>
      <c r="AD6" s="1143"/>
      <c r="AE6" s="1143"/>
      <c r="AF6" s="1143"/>
      <c r="AG6" s="1143"/>
      <c r="AH6" s="1143"/>
      <c r="AI6" s="1143"/>
      <c r="AJ6" s="1143"/>
      <c r="AK6" s="1143"/>
      <c r="AL6" s="1143"/>
      <c r="AM6" s="1143"/>
      <c r="AN6" s="1143"/>
      <c r="AO6" s="1143"/>
      <c r="AP6" s="1143"/>
      <c r="AQ6" s="1143"/>
      <c r="AR6" s="1143"/>
      <c r="AS6" s="1143"/>
      <c r="AT6" s="1144"/>
      <c r="AU6" s="366"/>
      <c r="AX6" s="87" t="str">
        <f t="shared" si="0"/>
        <v/>
      </c>
      <c r="BA6" s="75">
        <v>0</v>
      </c>
    </row>
    <row r="7" spans="5:53" ht="0.75" hidden="1" customHeight="1">
      <c r="E7" s="1112"/>
      <c r="F7" s="1112"/>
      <c r="G7" s="1112"/>
      <c r="H7" s="1112"/>
      <c r="I7" s="1114"/>
      <c r="J7" s="1113" t="e">
        <f>S5&amp;".1"</f>
        <v>#N/A</v>
      </c>
      <c r="P7" s="964"/>
      <c r="Q7" s="1115">
        <v>1</v>
      </c>
      <c r="R7" s="309"/>
      <c r="S7" s="193"/>
      <c r="T7" s="398"/>
      <c r="U7" s="364"/>
      <c r="V7" s="1143"/>
      <c r="W7" s="1143"/>
      <c r="X7" s="1143"/>
      <c r="Y7" s="1143"/>
      <c r="Z7" s="1143"/>
      <c r="AA7" s="1144"/>
      <c r="AB7" s="1142"/>
      <c r="AC7" s="1143"/>
      <c r="AD7" s="1143"/>
      <c r="AE7" s="1143"/>
      <c r="AF7" s="1143"/>
      <c r="AG7" s="1143"/>
      <c r="AH7" s="1143"/>
      <c r="AI7" s="1143"/>
      <c r="AJ7" s="1143"/>
      <c r="AK7" s="1143"/>
      <c r="AL7" s="1143"/>
      <c r="AM7" s="1143"/>
      <c r="AN7" s="1143"/>
      <c r="AO7" s="1143"/>
      <c r="AP7" s="1143"/>
      <c r="AQ7" s="1143"/>
      <c r="AR7" s="1143"/>
      <c r="AS7" s="1143"/>
      <c r="AT7" s="1144"/>
      <c r="AU7" s="366"/>
      <c r="AX7" s="87" t="str">
        <f t="shared" si="0"/>
        <v/>
      </c>
      <c r="BA7" s="75">
        <v>0</v>
      </c>
    </row>
    <row r="8" spans="5:53" ht="21" hidden="1" customHeight="1">
      <c r="E8" s="1112"/>
      <c r="F8" s="1112"/>
      <c r="G8" s="1112"/>
      <c r="H8" s="1112"/>
      <c r="I8" s="1114"/>
      <c r="J8" s="1114"/>
      <c r="K8" s="1113" t="e">
        <f>S5&amp;".1"</f>
        <v>#N/A</v>
      </c>
      <c r="P8" s="964"/>
      <c r="Q8" s="964"/>
      <c r="R8" s="1171">
        <v>1</v>
      </c>
      <c r="S8" s="1168" t="e">
        <f>$K8</f>
        <v>#N/A</v>
      </c>
      <c r="T8" s="1165"/>
      <c r="U8" s="297"/>
      <c r="V8" s="312"/>
      <c r="W8" s="314"/>
      <c r="X8" s="1116"/>
      <c r="Y8" s="1004" t="s">
        <v>66</v>
      </c>
      <c r="Z8" s="1116"/>
      <c r="AA8" s="1004" t="s">
        <v>66</v>
      </c>
      <c r="AB8" s="1004" t="s">
        <v>19</v>
      </c>
      <c r="AC8" s="1164"/>
      <c r="AD8" s="1069">
        <v>1</v>
      </c>
      <c r="AE8" s="1178"/>
      <c r="AF8" s="1004" t="s">
        <v>19</v>
      </c>
      <c r="AG8" s="1164"/>
      <c r="AH8" s="1069">
        <v>1</v>
      </c>
      <c r="AI8" s="1178"/>
      <c r="AJ8" s="1004" t="s">
        <v>19</v>
      </c>
      <c r="AK8" s="401"/>
      <c r="AL8" s="187">
        <v>1</v>
      </c>
      <c r="AM8" s="60"/>
      <c r="AN8" s="312"/>
      <c r="AO8" s="314"/>
      <c r="AP8" s="315"/>
      <c r="AQ8" s="122" t="s">
        <v>66</v>
      </c>
      <c r="AR8" s="315"/>
      <c r="AS8" s="122" t="s">
        <v>66</v>
      </c>
      <c r="AT8" s="354"/>
      <c r="AU8" s="1134" t="s">
        <v>465</v>
      </c>
      <c r="AV8" s="75" t="e">
        <f ca="1">STRCHECKDATE(V11:AT11)</f>
        <v>#NAME?</v>
      </c>
      <c r="AX8" s="87" t="str">
        <f t="shared" si="0"/>
        <v/>
      </c>
      <c r="BA8" s="17">
        <v>0</v>
      </c>
    </row>
    <row r="9" spans="5:53" ht="11.25" hidden="1" customHeight="1">
      <c r="E9" s="1112"/>
      <c r="F9" s="1112"/>
      <c r="G9" s="1112"/>
      <c r="H9" s="1112"/>
      <c r="I9" s="1114"/>
      <c r="J9" s="1114"/>
      <c r="K9" s="1113"/>
      <c r="P9" s="964"/>
      <c r="Q9" s="964"/>
      <c r="R9" s="1171"/>
      <c r="S9" s="1169"/>
      <c r="T9" s="1166"/>
      <c r="U9" s="297"/>
      <c r="V9" s="391"/>
      <c r="W9" s="402"/>
      <c r="X9" s="1116"/>
      <c r="Y9" s="1004"/>
      <c r="Z9" s="1116"/>
      <c r="AA9" s="1004"/>
      <c r="AB9" s="1004"/>
      <c r="AC9" s="1164"/>
      <c r="AD9" s="1069"/>
      <c r="AE9" s="1178"/>
      <c r="AF9" s="1004"/>
      <c r="AG9" s="1164"/>
      <c r="AH9" s="1069"/>
      <c r="AI9" s="1178"/>
      <c r="AJ9" s="1004"/>
      <c r="AK9" s="403"/>
      <c r="AL9" s="105"/>
      <c r="AM9" s="100" t="s">
        <v>466</v>
      </c>
      <c r="AN9" s="391"/>
      <c r="AO9" s="404"/>
      <c r="AP9" s="391"/>
      <c r="AQ9" s="391"/>
      <c r="AR9" s="391"/>
      <c r="AS9" s="391"/>
      <c r="AT9" s="405"/>
      <c r="AU9" s="1135"/>
      <c r="BA9" s="17">
        <v>0</v>
      </c>
    </row>
    <row r="10" spans="5:53" ht="11.25" hidden="1" customHeight="1">
      <c r="E10" s="1112"/>
      <c r="F10" s="1112"/>
      <c r="G10" s="1112"/>
      <c r="H10" s="1112"/>
      <c r="I10" s="1114"/>
      <c r="J10" s="1114"/>
      <c r="K10" s="1113"/>
      <c r="P10" s="964"/>
      <c r="Q10" s="964"/>
      <c r="R10" s="1171"/>
      <c r="S10" s="1169"/>
      <c r="T10" s="1166"/>
      <c r="U10" s="297"/>
      <c r="V10" s="391"/>
      <c r="W10" s="402"/>
      <c r="X10" s="1116"/>
      <c r="Y10" s="1004"/>
      <c r="Z10" s="1116"/>
      <c r="AA10" s="1004"/>
      <c r="AB10" s="1004"/>
      <c r="AC10" s="1164"/>
      <c r="AD10" s="1069"/>
      <c r="AE10" s="1178"/>
      <c r="AF10" s="1004"/>
      <c r="AG10" s="406"/>
      <c r="AH10" s="100"/>
      <c r="AI10" s="100" t="s">
        <v>467</v>
      </c>
      <c r="AJ10" s="391"/>
      <c r="AK10" s="391"/>
      <c r="AL10" s="391"/>
      <c r="AM10" s="391"/>
      <c r="AN10" s="391"/>
      <c r="AO10" s="404"/>
      <c r="AP10" s="391"/>
      <c r="AQ10" s="391"/>
      <c r="AR10" s="391"/>
      <c r="AS10" s="391"/>
      <c r="AT10" s="405"/>
      <c r="AU10" s="1135"/>
      <c r="BA10" s="17">
        <v>0</v>
      </c>
    </row>
    <row r="11" spans="5:53" ht="11.25" hidden="1" customHeight="1">
      <c r="E11" s="1112"/>
      <c r="F11" s="1112"/>
      <c r="G11" s="1112"/>
      <c r="H11" s="1112"/>
      <c r="I11" s="1114"/>
      <c r="J11" s="1114"/>
      <c r="K11" s="1113"/>
      <c r="P11" s="964"/>
      <c r="Q11" s="964"/>
      <c r="R11" s="1171"/>
      <c r="S11" s="1170"/>
      <c r="T11" s="1167"/>
      <c r="U11" s="297"/>
      <c r="V11" s="391"/>
      <c r="W11" s="407" t="str">
        <f>X8&amp;"-"&amp;Z8</f>
        <v>-</v>
      </c>
      <c r="X11" s="1117"/>
      <c r="Y11" s="1004"/>
      <c r="Z11" s="1117"/>
      <c r="AA11" s="1004"/>
      <c r="AB11" s="1004"/>
      <c r="AC11" s="408"/>
      <c r="AD11" s="409"/>
      <c r="AE11" s="100" t="s">
        <v>468</v>
      </c>
      <c r="AF11" s="391"/>
      <c r="AG11" s="391"/>
      <c r="AH11" s="391"/>
      <c r="AI11" s="391"/>
      <c r="AJ11" s="391"/>
      <c r="AK11" s="391"/>
      <c r="AL11" s="391"/>
      <c r="AM11" s="391"/>
      <c r="AN11" s="391"/>
      <c r="AO11" s="392" t="str">
        <f>AP8&amp;"-"&amp;AR8</f>
        <v>-</v>
      </c>
      <c r="AP11" s="391"/>
      <c r="AQ11" s="391"/>
      <c r="AR11" s="391"/>
      <c r="AS11" s="391"/>
      <c r="AT11" s="355"/>
      <c r="AU11" s="1135"/>
      <c r="AX11" s="87" t="str">
        <f t="shared" ref="AX11:AX17" si="1">IF(T11="","",T11)</f>
        <v/>
      </c>
      <c r="BA11" s="17">
        <v>0</v>
      </c>
    </row>
    <row r="12" spans="5:53" ht="11.25" hidden="1" customHeight="1">
      <c r="E12" s="1112"/>
      <c r="F12" s="1112"/>
      <c r="G12" s="1112"/>
      <c r="H12" s="1112"/>
      <c r="I12" s="1114"/>
      <c r="J12" s="1113"/>
      <c r="P12" s="964"/>
      <c r="Q12" s="964"/>
      <c r="R12" s="307"/>
      <c r="S12" s="318"/>
      <c r="T12" s="321" t="s">
        <v>469</v>
      </c>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320"/>
      <c r="AU12" s="1136"/>
      <c r="AX12" s="87" t="str">
        <f t="shared" si="1"/>
        <v>Добавить строку</v>
      </c>
      <c r="BA12" s="17">
        <v>0</v>
      </c>
    </row>
    <row r="13" spans="5:53" ht="0.75" hidden="1" customHeight="1">
      <c r="E13" s="1112"/>
      <c r="F13" s="1112"/>
      <c r="G13" s="1112"/>
      <c r="H13" s="1112"/>
      <c r="I13" s="1113"/>
      <c r="P13" s="964"/>
      <c r="R13" s="307"/>
      <c r="S13" s="367"/>
      <c r="T13" s="368"/>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70"/>
      <c r="AX13" s="87" t="str">
        <f t="shared" si="1"/>
        <v/>
      </c>
      <c r="BA13" s="75">
        <v>0</v>
      </c>
    </row>
    <row r="14" spans="5:53" ht="0.75" hidden="1" customHeight="1">
      <c r="E14" s="1112"/>
      <c r="F14" s="1112"/>
      <c r="G14" s="1112"/>
      <c r="H14" s="1111"/>
      <c r="R14" s="410"/>
      <c r="S14" s="367"/>
      <c r="T14" s="368"/>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70"/>
      <c r="AX14" s="87" t="str">
        <f t="shared" si="1"/>
        <v/>
      </c>
      <c r="BA14" s="75">
        <v>0</v>
      </c>
    </row>
    <row r="15" spans="5:53" ht="0.75" hidden="1" customHeight="1">
      <c r="E15" s="1112"/>
      <c r="F15" s="1112"/>
      <c r="G15" s="1111"/>
      <c r="T15" s="329" t="s">
        <v>415</v>
      </c>
      <c r="AX15" s="87" t="str">
        <f t="shared" si="1"/>
        <v>Добавить источник для дифференциации</v>
      </c>
      <c r="BA15" s="75">
        <v>0</v>
      </c>
    </row>
    <row r="16" spans="5:53" ht="0.75" hidden="1" customHeight="1">
      <c r="E16" s="1112"/>
      <c r="F16" s="1111"/>
      <c r="T16" s="329" t="s">
        <v>416</v>
      </c>
      <c r="AX16" s="87" t="str">
        <f t="shared" si="1"/>
        <v>Добавить централизованную систему для дифференциации</v>
      </c>
      <c r="BA16" s="75">
        <v>0</v>
      </c>
    </row>
    <row r="17" spans="5:53" ht="0.75" hidden="1" customHeight="1">
      <c r="E17" s="1111"/>
      <c r="T17" s="329" t="s">
        <v>417</v>
      </c>
      <c r="AX17" s="87" t="str">
        <f t="shared" si="1"/>
        <v>Добавить территорию для дифференциации</v>
      </c>
      <c r="BA17" s="75">
        <v>0</v>
      </c>
    </row>
    <row r="18" spans="5:53" ht="14.25" hidden="1" customHeight="1">
      <c r="BA18" s="17">
        <v>0</v>
      </c>
    </row>
    <row r="19" spans="5:53" ht="14.25" hidden="1" customHeight="1">
      <c r="AB19" s="411" t="s">
        <v>19</v>
      </c>
      <c r="AD19" s="411">
        <v>1</v>
      </c>
      <c r="AF19" s="411" t="s">
        <v>19</v>
      </c>
      <c r="AH19" s="411">
        <v>1</v>
      </c>
      <c r="AJ19" s="411" t="s">
        <v>19</v>
      </c>
      <c r="AL19" s="411">
        <v>1</v>
      </c>
      <c r="AM19" s="412"/>
      <c r="AN19" s="413"/>
      <c r="AO19" s="414"/>
      <c r="AP19" s="415"/>
      <c r="AQ19" s="416" t="s">
        <v>66</v>
      </c>
      <c r="AR19" s="415"/>
      <c r="AS19" s="416" t="s">
        <v>66</v>
      </c>
      <c r="BA19" s="17">
        <v>0</v>
      </c>
    </row>
    <row r="20" spans="5:53" ht="14.25" hidden="1" customHeight="1">
      <c r="BA20" s="17">
        <v>0</v>
      </c>
    </row>
    <row r="21" spans="5:53" ht="14.25" hidden="1" customHeight="1">
      <c r="O21" s="332" t="s">
        <v>418</v>
      </c>
      <c r="X21" s="359"/>
      <c r="Z21" s="359"/>
      <c r="AP21" s="359"/>
      <c r="AR21" s="359"/>
      <c r="BA21" s="17">
        <v>0</v>
      </c>
    </row>
    <row r="22" spans="5:53" ht="14.25" hidden="1" customHeight="1">
      <c r="BA22" s="17">
        <v>0</v>
      </c>
    </row>
    <row r="23" spans="5:53" ht="14.25" hidden="1" customHeight="1">
      <c r="O23" s="417" t="s">
        <v>419</v>
      </c>
      <c r="Y23" s="417" t="s">
        <v>421</v>
      </c>
      <c r="AA23" s="417" t="s">
        <v>422</v>
      </c>
      <c r="AB23" s="417" t="s">
        <v>470</v>
      </c>
      <c r="AE23" s="417" t="s">
        <v>471</v>
      </c>
      <c r="AF23" s="417" t="s">
        <v>470</v>
      </c>
      <c r="AI23" s="417" t="s">
        <v>472</v>
      </c>
      <c r="AJ23" s="417" t="s">
        <v>470</v>
      </c>
      <c r="AM23" s="417" t="s">
        <v>473</v>
      </c>
      <c r="AQ23" s="417" t="s">
        <v>421</v>
      </c>
      <c r="AS23" s="417" t="s">
        <v>422</v>
      </c>
      <c r="BA23" s="417">
        <v>0</v>
      </c>
    </row>
    <row r="24" spans="5:53" ht="14.25" hidden="1" customHeight="1">
      <c r="BA24" s="17">
        <v>0</v>
      </c>
    </row>
    <row r="25" spans="5:53" ht="14.25" hidden="1" customHeight="1">
      <c r="BA25" s="17">
        <v>0</v>
      </c>
    </row>
    <row r="26" spans="5:53" ht="14.65" customHeight="1">
      <c r="Q26" s="418"/>
      <c r="R26" s="333"/>
      <c r="S26" s="334"/>
      <c r="T26" s="38"/>
      <c r="U26" s="38"/>
      <c r="BA26" s="17">
        <v>14</v>
      </c>
    </row>
    <row r="27" spans="5:53" ht="27.4" customHeight="1">
      <c r="Q27" s="418"/>
      <c r="R27" s="333"/>
      <c r="S27" s="10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093"/>
      <c r="U27" s="1093"/>
      <c r="V27" s="1093"/>
      <c r="W27" s="1093"/>
      <c r="X27" s="1093"/>
      <c r="Y27" s="1093"/>
      <c r="Z27" s="1093"/>
      <c r="AA27" s="1093"/>
      <c r="AB27" s="1093"/>
      <c r="AC27" s="1093"/>
      <c r="AD27" s="1093"/>
      <c r="AE27" s="1093"/>
      <c r="AF27" s="1093"/>
      <c r="AG27" s="1093"/>
      <c r="AH27" s="1093"/>
      <c r="AI27" s="1093"/>
      <c r="AJ27" s="1093"/>
      <c r="AK27" s="1093"/>
      <c r="AL27" s="1093"/>
      <c r="AM27" s="1093"/>
      <c r="AN27" s="1093"/>
      <c r="AO27" s="1093"/>
      <c r="AP27" s="1093"/>
      <c r="AQ27" s="1093"/>
      <c r="AR27" s="1093"/>
      <c r="BA27" s="17">
        <v>26</v>
      </c>
    </row>
    <row r="28" spans="5:53" ht="14.65" customHeight="1">
      <c r="Q28" s="418"/>
      <c r="R28" s="333"/>
      <c r="S28" s="1066" t="str">
        <f>IF(org=0,"Не определено",org)</f>
        <v>ООО "ТВС"</v>
      </c>
      <c r="T28" s="1066"/>
      <c r="U28" s="1066"/>
      <c r="V28" s="1066"/>
      <c r="W28" s="1066"/>
      <c r="X28" s="1066"/>
      <c r="Y28" s="1066"/>
      <c r="Z28" s="1066"/>
      <c r="AA28" s="1066"/>
      <c r="AB28" s="1066"/>
      <c r="AC28" s="1066"/>
      <c r="AD28" s="1066"/>
      <c r="AE28" s="1066"/>
      <c r="AF28" s="1066"/>
      <c r="AG28" s="1066"/>
      <c r="AH28" s="1066"/>
      <c r="AI28" s="1066"/>
      <c r="AJ28" s="1066"/>
      <c r="AK28" s="1066"/>
      <c r="AL28" s="1066"/>
      <c r="AM28" s="1066"/>
      <c r="AN28" s="1066"/>
      <c r="AO28" s="1066"/>
      <c r="AP28" s="1066"/>
      <c r="AQ28" s="1066"/>
      <c r="AR28" s="1066"/>
      <c r="BA28" s="17">
        <v>14</v>
      </c>
    </row>
    <row r="29" spans="5:53" ht="14.25" hidden="1" customHeight="1">
      <c r="Q29" s="418"/>
      <c r="R29" s="333"/>
      <c r="S29" s="334"/>
      <c r="T29" s="38"/>
      <c r="U29" s="38"/>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BA29" s="17">
        <v>0</v>
      </c>
    </row>
    <row r="30" spans="5:53" ht="25.5" hidden="1" customHeight="1">
      <c r="S30" s="1103" t="s">
        <v>42</v>
      </c>
      <c r="T30" s="1103"/>
      <c r="U30" s="337"/>
      <c r="V30" s="1105" t="str">
        <f>IF(TITLE_NAME_OR_PR_CHANGE="",IF(TITLE_NAME_OR_PR="","",TITLE_NAME_OR_PR),TITLE_NAME_OR_PR_CHANGE)</f>
        <v/>
      </c>
      <c r="W30" s="1105"/>
      <c r="X30" s="1105"/>
      <c r="Y30" s="1105"/>
      <c r="Z30" s="1105"/>
      <c r="AB30" s="1105" t="str">
        <f>IF(TITLE_NAME_OR_PR_CHANGE="",IF(TITLE_NAME_OR_PR="","",TITLE_NAME_OR_PR),TITLE_NAME_OR_PR_CHANGE)</f>
        <v/>
      </c>
      <c r="AC30" s="1105"/>
      <c r="AD30" s="1105"/>
      <c r="AE30" s="1105"/>
      <c r="AF30" s="1105"/>
      <c r="AG30" s="1105"/>
      <c r="AH30" s="1105"/>
      <c r="AI30" s="1105"/>
      <c r="AJ30" s="1105"/>
      <c r="AK30" s="1105"/>
      <c r="AL30" s="1105"/>
      <c r="AM30" s="1105"/>
      <c r="AN30" s="1105"/>
      <c r="AO30" s="1105"/>
      <c r="AP30" s="1105"/>
      <c r="AQ30" s="1105"/>
      <c r="AR30" s="1105"/>
      <c r="BA30" s="111">
        <v>0</v>
      </c>
    </row>
    <row r="31" spans="5:53" ht="18.75" hidden="1" customHeight="1">
      <c r="S31" s="1103" t="s">
        <v>424</v>
      </c>
      <c r="T31" s="1103"/>
      <c r="U31" s="337"/>
      <c r="V31" s="1104" t="str">
        <f>IF(TITLE_DATE_PR_CHANGE="",IF(TITLE_DATE_PR="","",TITLE_DATE_PR),TITLE_DATE_PR_CHANGE)</f>
        <v/>
      </c>
      <c r="W31" s="1104"/>
      <c r="X31" s="1104"/>
      <c r="Y31" s="1104"/>
      <c r="Z31" s="1104"/>
      <c r="AB31" s="1104" t="str">
        <f>IF(TITLE_DATE_PR_CHANGE="",IF(TITLE_DATE_PR="","",TITLE_DATE_PR),TITLE_DATE_PR_CHANGE)</f>
        <v/>
      </c>
      <c r="AC31" s="1104"/>
      <c r="AD31" s="1104"/>
      <c r="AE31" s="1104"/>
      <c r="AF31" s="1104"/>
      <c r="AG31" s="1104"/>
      <c r="AH31" s="1104"/>
      <c r="AI31" s="1104"/>
      <c r="AJ31" s="1104"/>
      <c r="AK31" s="1104"/>
      <c r="AL31" s="1104"/>
      <c r="AM31" s="1104"/>
      <c r="AN31" s="1104"/>
      <c r="AO31" s="1104"/>
      <c r="AP31" s="1104"/>
      <c r="AQ31" s="1104"/>
      <c r="AR31" s="1104"/>
      <c r="BA31" s="111">
        <v>0</v>
      </c>
    </row>
    <row r="32" spans="5:53" ht="18.75" hidden="1" customHeight="1">
      <c r="S32" s="1103" t="s">
        <v>425</v>
      </c>
      <c r="T32" s="1103"/>
      <c r="U32" s="337"/>
      <c r="V32" s="1105" t="str">
        <f>IF(TITLE_NUMBER_PR_CHANGE="",IF(TITLE_NUMBER_PR="","",TITLE_NUMBER_PR),TITLE_NUMBER_PR_CHANGE)</f>
        <v/>
      </c>
      <c r="W32" s="1105"/>
      <c r="X32" s="1105"/>
      <c r="Y32" s="1105"/>
      <c r="Z32" s="1105"/>
      <c r="AB32" s="1105" t="str">
        <f>IF(TITLE_NUMBER_PR_CHANGE="",IF(TITLE_NUMBER_PR="","",TITLE_NUMBER_PR),TITLE_NUMBER_PR_CHANGE)</f>
        <v/>
      </c>
      <c r="AC32" s="1105"/>
      <c r="AD32" s="1105"/>
      <c r="AE32" s="1105"/>
      <c r="AF32" s="1105"/>
      <c r="AG32" s="1105"/>
      <c r="AH32" s="1105"/>
      <c r="AI32" s="1105"/>
      <c r="AJ32" s="1105"/>
      <c r="AK32" s="1105"/>
      <c r="AL32" s="1105"/>
      <c r="AM32" s="1105"/>
      <c r="AN32" s="1105"/>
      <c r="AO32" s="1105"/>
      <c r="AP32" s="1105"/>
      <c r="AQ32" s="1105"/>
      <c r="AR32" s="1105"/>
      <c r="BA32" s="111">
        <v>0</v>
      </c>
    </row>
    <row r="33" spans="1:53" ht="18.75" hidden="1" customHeight="1">
      <c r="S33" s="1103" t="s">
        <v>43</v>
      </c>
      <c r="T33" s="1103"/>
      <c r="U33" s="337"/>
      <c r="V33" s="1105" t="str">
        <f>IF(TITLE_IST_PUB_CHANGE="",IF(TITLE_IST_PUB="","",TITLE_IST_PUB),TITLE_IST_PUB_CHANGE)</f>
        <v/>
      </c>
      <c r="W33" s="1105"/>
      <c r="X33" s="1105"/>
      <c r="Y33" s="1105"/>
      <c r="Z33" s="1105"/>
      <c r="AB33" s="1105" t="str">
        <f>IF(TITLE_IST_PUB_CHANGE="",IF(TITLE_IST_PUB="","",TITLE_IST_PUB),TITLE_IST_PUB_CHANGE)</f>
        <v/>
      </c>
      <c r="AC33" s="1105"/>
      <c r="AD33" s="1105"/>
      <c r="AE33" s="1105"/>
      <c r="AF33" s="1105"/>
      <c r="AG33" s="1105"/>
      <c r="AH33" s="1105"/>
      <c r="AI33" s="1105"/>
      <c r="AJ33" s="1105"/>
      <c r="AK33" s="1105"/>
      <c r="AL33" s="1105"/>
      <c r="AM33" s="1105"/>
      <c r="AN33" s="1105"/>
      <c r="AO33" s="1105"/>
      <c r="AP33" s="1105"/>
      <c r="AQ33" s="1105"/>
      <c r="AR33" s="1105"/>
      <c r="BA33" s="111">
        <v>0</v>
      </c>
    </row>
    <row r="34" spans="1:53" ht="14.25" hidden="1" customHeight="1">
      <c r="Q34" s="418"/>
      <c r="R34" s="333"/>
      <c r="S34" s="334"/>
      <c r="T34" s="38"/>
      <c r="U34" s="38"/>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BA34" s="17">
        <v>0</v>
      </c>
    </row>
    <row r="35" spans="1:53" ht="18.75" hidden="1" customHeight="1">
      <c r="S35" s="1103" t="s">
        <v>424</v>
      </c>
      <c r="T35" s="1103"/>
      <c r="U35" s="337"/>
      <c r="V35" s="1104" t="str">
        <f>IF(TITLE_DATE_PR_CHANGE="",IF(TITLE_DATE_PR="","",TITLE_DATE_PR),TITLE_DATE_PR_CHANGE)</f>
        <v/>
      </c>
      <c r="W35" s="1104"/>
      <c r="X35" s="1104"/>
      <c r="Y35" s="1104"/>
      <c r="Z35" s="1104"/>
      <c r="AB35" s="1104" t="str">
        <f>IF(TITLE_DATE_PR_CHANGE="",IF(TITLE_DATE_PR="","",TITLE_DATE_PR),TITLE_DATE_PR_CHANGE)</f>
        <v/>
      </c>
      <c r="AC35" s="1104"/>
      <c r="AD35" s="1104"/>
      <c r="AE35" s="1104"/>
      <c r="AF35" s="1104"/>
      <c r="AG35" s="1104"/>
      <c r="AH35" s="1104"/>
      <c r="AI35" s="1104"/>
      <c r="AJ35" s="1104"/>
      <c r="AK35" s="1104"/>
      <c r="AL35" s="1104"/>
      <c r="AM35" s="1104"/>
      <c r="AN35" s="1104"/>
      <c r="AO35" s="1104"/>
      <c r="AP35" s="1104"/>
      <c r="AQ35" s="1104"/>
      <c r="AR35" s="1104"/>
      <c r="BA35" s="111">
        <v>0</v>
      </c>
    </row>
    <row r="36" spans="1:53" ht="18" hidden="1" customHeight="1">
      <c r="S36" s="1103" t="s">
        <v>425</v>
      </c>
      <c r="T36" s="1103"/>
      <c r="U36" s="337"/>
      <c r="V36" s="1105" t="str">
        <f>IF(TITLE_NUMBER_PR_CHANGE="",IF(TITLE_NUMBER_PR="","",TITLE_NUMBER_PR),TITLE_NUMBER_PR_CHANGE)</f>
        <v/>
      </c>
      <c r="W36" s="1105"/>
      <c r="X36" s="1105"/>
      <c r="Y36" s="1105"/>
      <c r="Z36" s="1105"/>
      <c r="AB36" s="1105" t="str">
        <f>IF(TITLE_NUMBER_PR_CHANGE="",IF(TITLE_NUMBER_PR="","",TITLE_NUMBER_PR),TITLE_NUMBER_PR_CHANGE)</f>
        <v/>
      </c>
      <c r="AC36" s="1105"/>
      <c r="AD36" s="1105"/>
      <c r="AE36" s="1105"/>
      <c r="AF36" s="1105"/>
      <c r="AG36" s="1105"/>
      <c r="AH36" s="1105"/>
      <c r="AI36" s="1105"/>
      <c r="AJ36" s="1105"/>
      <c r="AK36" s="1105"/>
      <c r="AL36" s="1105"/>
      <c r="AM36" s="1105"/>
      <c r="AN36" s="1105"/>
      <c r="AO36" s="1105"/>
      <c r="AP36" s="1105"/>
      <c r="AQ36" s="1105"/>
      <c r="AR36" s="1105"/>
      <c r="BA36" s="111">
        <v>0</v>
      </c>
    </row>
    <row r="37" spans="1:53" ht="1.1499999999999999" customHeight="1">
      <c r="AA37" s="75" t="s">
        <v>428</v>
      </c>
      <c r="AS37" s="75" t="s">
        <v>428</v>
      </c>
      <c r="BA37" s="111">
        <v>1</v>
      </c>
    </row>
    <row r="38" spans="1:53" ht="14.65" customHeight="1">
      <c r="Q38" s="418"/>
      <c r="R38" s="333"/>
      <c r="S38" s="334"/>
      <c r="T38" s="38"/>
      <c r="U38" s="339"/>
      <c r="V38" s="1123"/>
      <c r="W38" s="1123"/>
      <c r="X38" s="1123"/>
      <c r="Y38" s="1123"/>
      <c r="Z38" s="1123"/>
      <c r="AA38" s="1123"/>
      <c r="AB38" s="1123"/>
      <c r="AC38" s="1123"/>
      <c r="AD38" s="1123"/>
      <c r="AE38" s="1123"/>
      <c r="AF38" s="1123"/>
      <c r="AG38" s="1123"/>
      <c r="AH38" s="1123"/>
      <c r="AI38" s="1123"/>
      <c r="AJ38" s="1123"/>
      <c r="AK38" s="1123"/>
      <c r="AL38" s="1123"/>
      <c r="AM38" s="1123"/>
      <c r="AN38" s="1123"/>
      <c r="AO38" s="1123"/>
      <c r="AP38" s="1123"/>
      <c r="AQ38" s="1123"/>
      <c r="AR38" s="1123"/>
      <c r="AS38" s="1123"/>
      <c r="BA38" s="17">
        <v>14</v>
      </c>
    </row>
    <row r="39" spans="1:53" ht="14.65" customHeight="1">
      <c r="Q39" s="418"/>
      <c r="R39" s="333"/>
      <c r="S39" s="995" t="s">
        <v>301</v>
      </c>
      <c r="T39" s="995"/>
      <c r="U39" s="995"/>
      <c r="V39" s="995"/>
      <c r="W39" s="995"/>
      <c r="X39" s="995"/>
      <c r="Y39" s="995"/>
      <c r="Z39" s="995"/>
      <c r="AA39" s="995"/>
      <c r="AB39" s="1046"/>
      <c r="AC39" s="1046"/>
      <c r="AD39" s="1046"/>
      <c r="AE39" s="1046"/>
      <c r="AF39" s="995"/>
      <c r="AG39" s="995"/>
      <c r="AH39" s="995"/>
      <c r="AI39" s="995"/>
      <c r="AJ39" s="995"/>
      <c r="AK39" s="995"/>
      <c r="AL39" s="995"/>
      <c r="AM39" s="995"/>
      <c r="AN39" s="995"/>
      <c r="AO39" s="995"/>
      <c r="AP39" s="995"/>
      <c r="AQ39" s="995"/>
      <c r="AR39" s="995"/>
      <c r="AS39" s="995"/>
      <c r="AT39" s="995"/>
      <c r="AU39" s="995" t="s">
        <v>302</v>
      </c>
      <c r="BA39" s="17">
        <v>14</v>
      </c>
    </row>
    <row r="40" spans="1:53" ht="14.65" customHeight="1">
      <c r="Q40" s="418"/>
      <c r="R40" s="333"/>
      <c r="S40" s="1124" t="s">
        <v>88</v>
      </c>
      <c r="T40" s="1073" t="s">
        <v>474</v>
      </c>
      <c r="U40" s="341"/>
      <c r="V40" s="1126"/>
      <c r="W40" s="1126"/>
      <c r="X40" s="1126"/>
      <c r="Y40" s="1126"/>
      <c r="Z40" s="1127"/>
      <c r="AA40" s="1173" t="s">
        <v>431</v>
      </c>
      <c r="AB40" s="1157" t="s">
        <v>475</v>
      </c>
      <c r="AC40" s="1141"/>
      <c r="AD40" s="1141"/>
      <c r="AE40" s="1158"/>
      <c r="AF40" s="1141" t="s">
        <v>476</v>
      </c>
      <c r="AG40" s="1141"/>
      <c r="AH40" s="1141"/>
      <c r="AI40" s="1158"/>
      <c r="AJ40" s="1157" t="s">
        <v>477</v>
      </c>
      <c r="AK40" s="1141"/>
      <c r="AL40" s="1141"/>
      <c r="AM40" s="1158"/>
      <c r="AN40" s="1157" t="s">
        <v>430</v>
      </c>
      <c r="AO40" s="1141"/>
      <c r="AP40" s="1126"/>
      <c r="AQ40" s="1126"/>
      <c r="AR40" s="1127"/>
      <c r="AS40" s="1128" t="s">
        <v>431</v>
      </c>
      <c r="AT40" s="1131" t="s">
        <v>433</v>
      </c>
      <c r="AU40" s="995"/>
      <c r="BA40" s="17">
        <v>14</v>
      </c>
    </row>
    <row r="41" spans="1:53" ht="35.65" customHeight="1">
      <c r="Q41" s="418"/>
      <c r="R41" s="333"/>
      <c r="S41" s="1124"/>
      <c r="T41" s="1073"/>
      <c r="U41" s="343"/>
      <c r="V41" s="995" t="s">
        <v>478</v>
      </c>
      <c r="W41" s="995"/>
      <c r="X41" s="1047" t="s">
        <v>437</v>
      </c>
      <c r="Y41" s="1153"/>
      <c r="Z41" s="1048"/>
      <c r="AA41" s="1174"/>
      <c r="AB41" s="1159"/>
      <c r="AC41" s="1160"/>
      <c r="AD41" s="1160"/>
      <c r="AE41" s="1172"/>
      <c r="AF41" s="1160"/>
      <c r="AG41" s="1160"/>
      <c r="AH41" s="1160"/>
      <c r="AI41" s="1172"/>
      <c r="AJ41" s="1159"/>
      <c r="AK41" s="1160"/>
      <c r="AL41" s="1160"/>
      <c r="AM41" s="1160"/>
      <c r="AN41" s="995" t="s">
        <v>478</v>
      </c>
      <c r="AO41" s="995"/>
      <c r="AP41" s="1153" t="s">
        <v>437</v>
      </c>
      <c r="AQ41" s="1153"/>
      <c r="AR41" s="1048"/>
      <c r="AS41" s="1129"/>
      <c r="AT41" s="1132"/>
      <c r="AU41" s="995"/>
      <c r="BA41" s="17">
        <v>34</v>
      </c>
    </row>
    <row r="42" spans="1:53" ht="14.65" customHeight="1">
      <c r="Q42" s="418"/>
      <c r="R42" s="333"/>
      <c r="S42" s="1124"/>
      <c r="T42" s="1073"/>
      <c r="U42" s="343"/>
      <c r="V42" s="1177" t="str">
        <f>IF($AN$42&lt;&gt;"",$AN$42,"")</f>
        <v/>
      </c>
      <c r="W42" s="1177"/>
      <c r="X42" s="1052"/>
      <c r="Y42" s="1154"/>
      <c r="Z42" s="1053"/>
      <c r="AA42" s="1174"/>
      <c r="AB42" s="1159"/>
      <c r="AC42" s="1160"/>
      <c r="AD42" s="1160"/>
      <c r="AE42" s="1172"/>
      <c r="AF42" s="1160"/>
      <c r="AG42" s="1160"/>
      <c r="AH42" s="1160"/>
      <c r="AI42" s="1172"/>
      <c r="AJ42" s="1159"/>
      <c r="AK42" s="1160"/>
      <c r="AL42" s="1160"/>
      <c r="AM42" s="1160"/>
      <c r="AN42" s="1176"/>
      <c r="AO42" s="1176"/>
      <c r="AP42" s="1154"/>
      <c r="AQ42" s="1154"/>
      <c r="AR42" s="1053"/>
      <c r="AS42" s="1129"/>
      <c r="AT42" s="1132"/>
      <c r="AU42" s="995"/>
      <c r="BA42" s="17">
        <v>14</v>
      </c>
    </row>
    <row r="43" spans="1:53" ht="14.65" customHeight="1">
      <c r="B43" s="126" t="s">
        <v>138</v>
      </c>
      <c r="C43" s="126" t="s">
        <v>139</v>
      </c>
      <c r="D43" s="126" t="s">
        <v>140</v>
      </c>
      <c r="E43" s="306" t="s">
        <v>438</v>
      </c>
      <c r="F43" s="306" t="s">
        <v>439</v>
      </c>
      <c r="G43" s="306" t="s">
        <v>440</v>
      </c>
      <c r="H43" s="306" t="s">
        <v>441</v>
      </c>
      <c r="I43" s="306" t="s">
        <v>442</v>
      </c>
      <c r="J43" s="306" t="s">
        <v>443</v>
      </c>
      <c r="K43" s="306" t="s">
        <v>444</v>
      </c>
      <c r="L43" s="306" t="s">
        <v>419</v>
      </c>
      <c r="Q43" s="418"/>
      <c r="R43" s="333"/>
      <c r="S43" s="1124"/>
      <c r="T43" s="1073"/>
      <c r="U43" s="344"/>
      <c r="V43" s="189" t="s">
        <v>479</v>
      </c>
      <c r="W43" s="189" t="s">
        <v>480</v>
      </c>
      <c r="X43" s="134" t="s">
        <v>447</v>
      </c>
      <c r="Y43" s="1078" t="s">
        <v>448</v>
      </c>
      <c r="Z43" s="1092"/>
      <c r="AA43" s="1175"/>
      <c r="AB43" s="1161"/>
      <c r="AC43" s="1162"/>
      <c r="AD43" s="1162"/>
      <c r="AE43" s="1163"/>
      <c r="AF43" s="1162"/>
      <c r="AG43" s="1162"/>
      <c r="AH43" s="1162"/>
      <c r="AI43" s="1163"/>
      <c r="AJ43" s="1161"/>
      <c r="AK43" s="1162"/>
      <c r="AL43" s="1162"/>
      <c r="AM43" s="1163"/>
      <c r="AN43" s="346" t="s">
        <v>479</v>
      </c>
      <c r="AO43" s="346" t="s">
        <v>480</v>
      </c>
      <c r="AP43" s="134" t="s">
        <v>447</v>
      </c>
      <c r="AQ43" s="1078" t="s">
        <v>448</v>
      </c>
      <c r="AR43" s="1092"/>
      <c r="AS43" s="1130"/>
      <c r="AT43" s="1133"/>
      <c r="AU43" s="995"/>
      <c r="BA43" s="17">
        <v>14</v>
      </c>
    </row>
    <row r="44" spans="1:53" ht="11.25" hidden="1" customHeight="1">
      <c r="Q44" s="348"/>
      <c r="R44" s="348">
        <v>1</v>
      </c>
      <c r="S44" s="349" t="s">
        <v>110</v>
      </c>
      <c r="T44" s="350" t="s">
        <v>111</v>
      </c>
      <c r="U44" s="351" t="str">
        <f ca="1">OFFSET(U44,0,-1)</f>
        <v>2</v>
      </c>
      <c r="V44" s="352">
        <f ca="1">OFFSET(V44,0,-1)+1</f>
        <v>3</v>
      </c>
      <c r="W44" s="352">
        <f ca="1">OFFSET(W44,0,-1)+1</f>
        <v>4</v>
      </c>
      <c r="X44" s="352">
        <f ca="1">OFFSET(X44,0,-1)+1</f>
        <v>5</v>
      </c>
      <c r="Y44" s="1122">
        <f ca="1">OFFSET(Y44,0,-1)+1</f>
        <v>6</v>
      </c>
      <c r="Z44" s="1122"/>
      <c r="AA44" s="352">
        <f ca="1">OFFSET(AA44,0,-2)+1</f>
        <v>7</v>
      </c>
      <c r="AB44" s="254">
        <f ca="1">OFFSET(AB44,0,-1)+1</f>
        <v>8</v>
      </c>
      <c r="AC44" s="254"/>
      <c r="AD44" s="254"/>
      <c r="AE44" s="254"/>
      <c r="AF44" s="352"/>
      <c r="AG44" s="352"/>
      <c r="AH44" s="352"/>
      <c r="AI44" s="352"/>
      <c r="AJ44" s="352"/>
      <c r="AK44" s="352"/>
      <c r="AL44" s="352"/>
      <c r="AM44" s="352"/>
      <c r="AN44" s="352">
        <f ca="1">OFFSET(AN44,0,-1)+1</f>
        <v>1</v>
      </c>
      <c r="AO44" s="352">
        <f ca="1">OFFSET(AO44,0,-1)+1</f>
        <v>2</v>
      </c>
      <c r="AP44" s="352">
        <f ca="1">OFFSET(AP44,0,-1)+1</f>
        <v>3</v>
      </c>
      <c r="AQ44" s="1122">
        <f ca="1">OFFSET(AQ44,0,-1)+1</f>
        <v>4</v>
      </c>
      <c r="AR44" s="1122"/>
      <c r="AS44" s="352">
        <f ca="1">OFFSET(AS44,0,-2)+1</f>
        <v>5</v>
      </c>
      <c r="AT44" s="351">
        <f ca="1">OFFSET(AT44,0,-1)</f>
        <v>5</v>
      </c>
      <c r="AU44" s="352">
        <f ca="1">OFFSET(AU44,0,-1)+1</f>
        <v>6</v>
      </c>
      <c r="BA44" s="258">
        <v>0</v>
      </c>
    </row>
    <row r="45" spans="1:53" ht="107.25" customHeight="1">
      <c r="A45" s="353" t="s">
        <v>201</v>
      </c>
      <c r="E45" s="1111">
        <v>1</v>
      </c>
      <c r="R45" s="294"/>
      <c r="S45" s="295">
        <f>INDEX(PT_DIFFERENTIATION_NUM_NTAR,MATCH(A45,PT_DIFFERENTIATION_NTAR_ID,0))</f>
        <v>0</v>
      </c>
      <c r="T45" s="296" t="s">
        <v>126</v>
      </c>
      <c r="U45" s="297"/>
      <c r="V45" s="1107"/>
      <c r="W45" s="1107"/>
      <c r="X45" s="1107"/>
      <c r="Y45" s="1107"/>
      <c r="Z45" s="1107"/>
      <c r="AA45" s="1108"/>
      <c r="AB45" s="1106" t="str">
        <f>INDEX(PT_DIFFERENTIATION_NTAR,MATCH(A45,PT_DIFFERENTIATION_NTAR_ID,0))</f>
        <v/>
      </c>
      <c r="AC45" s="1107"/>
      <c r="AD45" s="1107"/>
      <c r="AE45" s="1107"/>
      <c r="AF45" s="1107"/>
      <c r="AG45" s="1107"/>
      <c r="AH45" s="1107"/>
      <c r="AI45" s="1107"/>
      <c r="AJ45" s="1107"/>
      <c r="AK45" s="1107"/>
      <c r="AL45" s="1107"/>
      <c r="AM45" s="1107"/>
      <c r="AN45" s="1107"/>
      <c r="AO45" s="1107"/>
      <c r="AP45" s="1107"/>
      <c r="AQ45" s="1107"/>
      <c r="AR45" s="1107"/>
      <c r="AS45" s="1107"/>
      <c r="AT45" s="1108"/>
      <c r="AU45" s="2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87" t="str">
        <f t="shared" ref="AX45:AX51" si="2">IF(T45="","",T45)</f>
        <v>Наименование тарифа</v>
      </c>
      <c r="BA45" s="17">
        <v>102</v>
      </c>
    </row>
    <row r="46" spans="1:53" ht="21.95" customHeight="1">
      <c r="A46" s="353" t="s">
        <v>201</v>
      </c>
      <c r="B46" s="353" t="s">
        <v>202</v>
      </c>
      <c r="E46" s="1112"/>
      <c r="F46" s="1111">
        <v>1</v>
      </c>
      <c r="Q46" s="397"/>
      <c r="R46" s="301"/>
      <c r="S46" s="295" t="str">
        <f>INDEX(PT_DIFFERENTIATION_NUM_TER,MATCH(B46,PT_DIFFERENTIATION_TER_ID,0))</f>
        <v>.</v>
      </c>
      <c r="T46" s="302" t="s">
        <v>398</v>
      </c>
      <c r="U46" s="297"/>
      <c r="V46" s="1107"/>
      <c r="W46" s="1107"/>
      <c r="X46" s="1107"/>
      <c r="Y46" s="1107"/>
      <c r="Z46" s="1107"/>
      <c r="AA46" s="1108"/>
      <c r="AB46" s="1106" t="str">
        <f>INDEX(PT_DIFFERENTIATION_TER,MATCH(B46,PT_DIFFERENTIATION_TER_ID,0))</f>
        <v/>
      </c>
      <c r="AC46" s="1107"/>
      <c r="AD46" s="1107"/>
      <c r="AE46" s="1107"/>
      <c r="AF46" s="1107"/>
      <c r="AG46" s="1107"/>
      <c r="AH46" s="1107"/>
      <c r="AI46" s="1107"/>
      <c r="AJ46" s="1107"/>
      <c r="AK46" s="1107"/>
      <c r="AL46" s="1107"/>
      <c r="AM46" s="1107"/>
      <c r="AN46" s="1107"/>
      <c r="AO46" s="1107"/>
      <c r="AP46" s="1107"/>
      <c r="AQ46" s="1107"/>
      <c r="AR46" s="1107"/>
      <c r="AS46" s="1107"/>
      <c r="AT46" s="1108"/>
      <c r="AU46" s="299" t="s">
        <v>399</v>
      </c>
      <c r="AX46" s="87" t="str">
        <f t="shared" si="2"/>
        <v>Территория действия тарифа</v>
      </c>
      <c r="BA46" s="17">
        <v>21</v>
      </c>
    </row>
    <row r="47" spans="1:53" ht="24" customHeight="1">
      <c r="A47" s="353" t="s">
        <v>201</v>
      </c>
      <c r="B47" s="353" t="s">
        <v>202</v>
      </c>
      <c r="C47" s="353" t="s">
        <v>203</v>
      </c>
      <c r="E47" s="1112"/>
      <c r="F47" s="1112"/>
      <c r="G47" s="1111">
        <v>1</v>
      </c>
      <c r="Q47" s="397"/>
      <c r="R47" s="301"/>
      <c r="S47" s="295" t="str">
        <f>INDEX(PT_DIFFERENTIATION_NUM_CS,MATCH(C47,PT_DIFFERENTIATION_CS_ID,0))</f>
        <v>..</v>
      </c>
      <c r="T47" s="303" t="s">
        <v>400</v>
      </c>
      <c r="U47" s="297"/>
      <c r="V47" s="1107"/>
      <c r="W47" s="1107"/>
      <c r="X47" s="1107"/>
      <c r="Y47" s="1107"/>
      <c r="Z47" s="1107"/>
      <c r="AA47" s="1108"/>
      <c r="AB47" s="1106" t="str">
        <f>INDEX(PT_DIFFERENTIATION_CS,MATCH(C47,PT_DIFFERENTIATION_CS_ID,0))</f>
        <v/>
      </c>
      <c r="AC47" s="1107"/>
      <c r="AD47" s="1107"/>
      <c r="AE47" s="1107"/>
      <c r="AF47" s="1107"/>
      <c r="AG47" s="1107"/>
      <c r="AH47" s="1107"/>
      <c r="AI47" s="1107"/>
      <c r="AJ47" s="1107"/>
      <c r="AK47" s="1107"/>
      <c r="AL47" s="1107"/>
      <c r="AM47" s="1107"/>
      <c r="AN47" s="1107"/>
      <c r="AO47" s="1107"/>
      <c r="AP47" s="1107"/>
      <c r="AQ47" s="1107"/>
      <c r="AR47" s="1107"/>
      <c r="AS47" s="1107"/>
      <c r="AT47" s="1108"/>
      <c r="AU47" s="299" t="s">
        <v>401</v>
      </c>
      <c r="AX47" s="87" t="str">
        <f t="shared" si="2"/>
        <v xml:space="preserve">Наименование системы теплоснабжения </v>
      </c>
      <c r="BA47" s="17">
        <v>23</v>
      </c>
    </row>
    <row r="48" spans="1:53" ht="21" customHeight="1">
      <c r="A48" s="353" t="s">
        <v>201</v>
      </c>
      <c r="B48" s="353" t="s">
        <v>202</v>
      </c>
      <c r="C48" s="353" t="s">
        <v>203</v>
      </c>
      <c r="D48" s="353" t="s">
        <v>204</v>
      </c>
      <c r="E48" s="1112"/>
      <c r="F48" s="1112"/>
      <c r="G48" s="1112"/>
      <c r="H48" s="1111">
        <v>1</v>
      </c>
      <c r="Q48" s="397"/>
      <c r="R48" s="301"/>
      <c r="S48" s="295" t="str">
        <f>INDEX(PT_DIFFERENTIATION_NUM_IST_TE,MATCH(D48,PT_DIFFERENTIATION_IST_TE_ID,0))</f>
        <v>...</v>
      </c>
      <c r="T48" s="304" t="s">
        <v>402</v>
      </c>
      <c r="U48" s="297"/>
      <c r="V48" s="1107"/>
      <c r="W48" s="1107"/>
      <c r="X48" s="1107"/>
      <c r="Y48" s="1107"/>
      <c r="Z48" s="1107"/>
      <c r="AA48" s="1108"/>
      <c r="AB48" s="1106" t="str">
        <f>INDEX(PT_DIFFERENTIATION_IST_TE,MATCH(D48,PT_DIFFERENTIATION_IST_TE_ID,0))</f>
        <v/>
      </c>
      <c r="AC48" s="1107"/>
      <c r="AD48" s="1107"/>
      <c r="AE48" s="1107"/>
      <c r="AF48" s="1107"/>
      <c r="AG48" s="1107"/>
      <c r="AH48" s="1107"/>
      <c r="AI48" s="1107"/>
      <c r="AJ48" s="1107"/>
      <c r="AK48" s="1107"/>
      <c r="AL48" s="1107"/>
      <c r="AM48" s="1107"/>
      <c r="AN48" s="1107"/>
      <c r="AO48" s="1107"/>
      <c r="AP48" s="1107"/>
      <c r="AQ48" s="1107"/>
      <c r="AR48" s="1107"/>
      <c r="AS48" s="1107"/>
      <c r="AT48" s="1108"/>
      <c r="AU48" s="299" t="s">
        <v>403</v>
      </c>
      <c r="AX48" s="87" t="str">
        <f t="shared" si="2"/>
        <v xml:space="preserve">Источник тепловой энергии  </v>
      </c>
      <c r="BA48" s="17">
        <v>20</v>
      </c>
    </row>
    <row r="49" spans="1:53" ht="1.1499999999999999" customHeight="1">
      <c r="A49" s="72" t="s">
        <v>201</v>
      </c>
      <c r="B49" s="72" t="s">
        <v>202</v>
      </c>
      <c r="C49" s="72" t="s">
        <v>203</v>
      </c>
      <c r="D49" s="72" t="s">
        <v>204</v>
      </c>
      <c r="E49" s="1112"/>
      <c r="F49" s="1112"/>
      <c r="G49" s="1112"/>
      <c r="H49" s="1112"/>
      <c r="I49" s="1113" t="str">
        <f>S48&amp;".1"</f>
        <v>....1</v>
      </c>
      <c r="L49" s="371" t="s">
        <v>404</v>
      </c>
      <c r="P49" s="1115">
        <v>1</v>
      </c>
      <c r="R49" s="307"/>
      <c r="S49" s="193"/>
      <c r="T49" s="363"/>
      <c r="U49" s="364"/>
      <c r="V49" s="1143"/>
      <c r="W49" s="1143"/>
      <c r="X49" s="1143"/>
      <c r="Y49" s="1143"/>
      <c r="Z49" s="1143"/>
      <c r="AA49" s="1144"/>
      <c r="AB49" s="1142"/>
      <c r="AC49" s="1143"/>
      <c r="AD49" s="1143"/>
      <c r="AE49" s="1143"/>
      <c r="AF49" s="1143"/>
      <c r="AG49" s="1143"/>
      <c r="AH49" s="1143"/>
      <c r="AI49" s="1143"/>
      <c r="AJ49" s="1143"/>
      <c r="AK49" s="1143"/>
      <c r="AL49" s="1143"/>
      <c r="AM49" s="1143"/>
      <c r="AN49" s="1143"/>
      <c r="AO49" s="1143"/>
      <c r="AP49" s="1143"/>
      <c r="AQ49" s="1143"/>
      <c r="AR49" s="1143"/>
      <c r="AS49" s="1143"/>
      <c r="AT49" s="1144"/>
      <c r="AU49" s="366"/>
      <c r="AX49" s="87" t="str">
        <f t="shared" si="2"/>
        <v/>
      </c>
      <c r="BA49" s="75">
        <v>1</v>
      </c>
    </row>
    <row r="50" spans="1:53" ht="1.1499999999999999" customHeight="1">
      <c r="A50" s="72" t="s">
        <v>201</v>
      </c>
      <c r="B50" s="72" t="s">
        <v>202</v>
      </c>
      <c r="C50" s="72" t="s">
        <v>203</v>
      </c>
      <c r="D50" s="72" t="s">
        <v>204</v>
      </c>
      <c r="E50" s="1112"/>
      <c r="F50" s="1112"/>
      <c r="G50" s="1112"/>
      <c r="H50" s="1112"/>
      <c r="I50" s="1114"/>
      <c r="J50" s="1113" t="str">
        <f>S48&amp;".1"</f>
        <v>....1</v>
      </c>
      <c r="P50" s="964"/>
      <c r="Q50" s="1115">
        <v>1</v>
      </c>
      <c r="R50" s="309"/>
      <c r="S50" s="193"/>
      <c r="T50" s="398"/>
      <c r="U50" s="364"/>
      <c r="V50" s="1143"/>
      <c r="W50" s="1143"/>
      <c r="X50" s="1143"/>
      <c r="Y50" s="1143"/>
      <c r="Z50" s="1143"/>
      <c r="AA50" s="1144"/>
      <c r="AB50" s="1142"/>
      <c r="AC50" s="1143"/>
      <c r="AD50" s="1143"/>
      <c r="AE50" s="1143"/>
      <c r="AF50" s="1143"/>
      <c r="AG50" s="1143"/>
      <c r="AH50" s="1143"/>
      <c r="AI50" s="1143"/>
      <c r="AJ50" s="1143"/>
      <c r="AK50" s="1143"/>
      <c r="AL50" s="1143"/>
      <c r="AM50" s="1143"/>
      <c r="AN50" s="1143"/>
      <c r="AO50" s="1143"/>
      <c r="AP50" s="1143"/>
      <c r="AQ50" s="1143"/>
      <c r="AR50" s="1143"/>
      <c r="AS50" s="1143"/>
      <c r="AT50" s="1144"/>
      <c r="AU50" s="366"/>
      <c r="AX50" s="87" t="str">
        <f t="shared" si="2"/>
        <v/>
      </c>
      <c r="BA50" s="75">
        <v>1</v>
      </c>
    </row>
    <row r="51" spans="1:53" ht="21.95" customHeight="1">
      <c r="A51" s="353" t="s">
        <v>201</v>
      </c>
      <c r="B51" s="353" t="s">
        <v>202</v>
      </c>
      <c r="C51" s="353" t="s">
        <v>203</v>
      </c>
      <c r="D51" s="353" t="s">
        <v>204</v>
      </c>
      <c r="E51" s="1112"/>
      <c r="F51" s="1112"/>
      <c r="G51" s="1112"/>
      <c r="H51" s="1112"/>
      <c r="I51" s="1114"/>
      <c r="J51" s="1114"/>
      <c r="K51" s="1113" t="str">
        <f>S48&amp;".1"</f>
        <v>....1</v>
      </c>
      <c r="P51" s="964"/>
      <c r="Q51" s="964"/>
      <c r="R51" s="309">
        <v>1</v>
      </c>
      <c r="S51" s="1168" t="str">
        <f>$K51</f>
        <v>....1</v>
      </c>
      <c r="T51" s="1165"/>
      <c r="U51" s="297"/>
      <c r="V51" s="312"/>
      <c r="W51" s="314"/>
      <c r="X51" s="315"/>
      <c r="Y51" s="122" t="s">
        <v>66</v>
      </c>
      <c r="Z51" s="315"/>
      <c r="AA51" s="122" t="s">
        <v>66</v>
      </c>
      <c r="AB51" s="1004" t="s">
        <v>19</v>
      </c>
      <c r="AC51" s="1164"/>
      <c r="AD51" s="1069">
        <v>1</v>
      </c>
      <c r="AE51" s="1156" t="s">
        <v>22</v>
      </c>
      <c r="AF51" s="1004" t="s">
        <v>19</v>
      </c>
      <c r="AG51" s="1164"/>
      <c r="AH51" s="1069">
        <v>1</v>
      </c>
      <c r="AI51" s="1156" t="s">
        <v>22</v>
      </c>
      <c r="AJ51" s="1004" t="s">
        <v>19</v>
      </c>
      <c r="AK51" s="401"/>
      <c r="AL51" s="187">
        <v>1</v>
      </c>
      <c r="AM51" s="421"/>
      <c r="AN51" s="312"/>
      <c r="AO51" s="314"/>
      <c r="AP51" s="315"/>
      <c r="AQ51" s="122" t="s">
        <v>66</v>
      </c>
      <c r="AR51" s="315"/>
      <c r="AS51" s="122" t="s">
        <v>66</v>
      </c>
      <c r="AT51" s="354"/>
      <c r="AU51" s="1134" t="s">
        <v>481</v>
      </c>
      <c r="AV51" s="75" t="e">
        <f ca="1">STRCHECKDATE(V54:AT54)</f>
        <v>#NAME?</v>
      </c>
      <c r="AX51" s="87" t="str">
        <f t="shared" si="2"/>
        <v/>
      </c>
      <c r="BA51" s="17">
        <v>21</v>
      </c>
    </row>
    <row r="52" spans="1:53" ht="11.45" customHeight="1">
      <c r="A52" s="353" t="s">
        <v>201</v>
      </c>
      <c r="E52" s="1112"/>
      <c r="F52" s="1112"/>
      <c r="G52" s="1112"/>
      <c r="H52" s="1112"/>
      <c r="I52" s="1114"/>
      <c r="J52" s="1114"/>
      <c r="K52" s="1113"/>
      <c r="P52" s="964"/>
      <c r="Q52" s="964"/>
      <c r="R52" s="309"/>
      <c r="S52" s="1169"/>
      <c r="T52" s="1166"/>
      <c r="U52" s="297"/>
      <c r="V52" s="391"/>
      <c r="W52" s="404"/>
      <c r="X52" s="391"/>
      <c r="Y52" s="391"/>
      <c r="Z52" s="391"/>
      <c r="AA52" s="391"/>
      <c r="AB52" s="1004"/>
      <c r="AC52" s="1164"/>
      <c r="AD52" s="1069"/>
      <c r="AE52" s="1156"/>
      <c r="AF52" s="1004"/>
      <c r="AG52" s="1164"/>
      <c r="AH52" s="1069"/>
      <c r="AI52" s="1156"/>
      <c r="AJ52" s="1004"/>
      <c r="AK52" s="403"/>
      <c r="AL52" s="105"/>
      <c r="AM52" s="100" t="s">
        <v>466</v>
      </c>
      <c r="AN52" s="391"/>
      <c r="AO52" s="404"/>
      <c r="AP52" s="391"/>
      <c r="AQ52" s="391"/>
      <c r="AR52" s="391"/>
      <c r="AS52" s="391"/>
      <c r="AT52" s="405"/>
      <c r="AU52" s="1135"/>
      <c r="BA52" s="17">
        <v>11</v>
      </c>
    </row>
    <row r="53" spans="1:53" ht="11.45" customHeight="1">
      <c r="A53" s="353" t="s">
        <v>201</v>
      </c>
      <c r="E53" s="1112"/>
      <c r="F53" s="1112"/>
      <c r="G53" s="1112"/>
      <c r="H53" s="1112"/>
      <c r="I53" s="1114"/>
      <c r="J53" s="1114"/>
      <c r="K53" s="1113"/>
      <c r="P53" s="964"/>
      <c r="Q53" s="964"/>
      <c r="R53" s="309"/>
      <c r="S53" s="1169"/>
      <c r="T53" s="1166"/>
      <c r="U53" s="297"/>
      <c r="V53" s="391"/>
      <c r="W53" s="404"/>
      <c r="X53" s="391"/>
      <c r="Y53" s="391"/>
      <c r="Z53" s="391"/>
      <c r="AA53" s="391"/>
      <c r="AB53" s="1004"/>
      <c r="AC53" s="1164"/>
      <c r="AD53" s="1069"/>
      <c r="AE53" s="1156"/>
      <c r="AF53" s="1004"/>
      <c r="AG53" s="406"/>
      <c r="AH53" s="100"/>
      <c r="AI53" s="100" t="s">
        <v>467</v>
      </c>
      <c r="AJ53" s="391"/>
      <c r="AK53" s="391"/>
      <c r="AL53" s="391"/>
      <c r="AM53" s="391"/>
      <c r="AN53" s="391"/>
      <c r="AO53" s="404"/>
      <c r="AP53" s="391"/>
      <c r="AQ53" s="391"/>
      <c r="AR53" s="391"/>
      <c r="AS53" s="391"/>
      <c r="AT53" s="405"/>
      <c r="AU53" s="1135"/>
      <c r="BA53" s="17">
        <v>11</v>
      </c>
    </row>
    <row r="54" spans="1:53" ht="11.45" customHeight="1">
      <c r="A54" s="353" t="s">
        <v>201</v>
      </c>
      <c r="B54" s="353" t="s">
        <v>202</v>
      </c>
      <c r="C54" s="353" t="s">
        <v>203</v>
      </c>
      <c r="D54" s="353" t="s">
        <v>204</v>
      </c>
      <c r="E54" s="1112"/>
      <c r="F54" s="1112"/>
      <c r="G54" s="1112"/>
      <c r="H54" s="1112"/>
      <c r="I54" s="1114"/>
      <c r="J54" s="1114"/>
      <c r="K54" s="1113"/>
      <c r="P54" s="964"/>
      <c r="Q54" s="964"/>
      <c r="R54" s="309"/>
      <c r="S54" s="1170"/>
      <c r="T54" s="1167"/>
      <c r="U54" s="297"/>
      <c r="V54" s="391"/>
      <c r="W54" s="392" t="str">
        <f>X51&amp;"-"&amp;Z51</f>
        <v>-</v>
      </c>
      <c r="X54" s="391"/>
      <c r="Y54" s="391"/>
      <c r="Z54" s="391"/>
      <c r="AA54" s="391"/>
      <c r="AB54" s="1004"/>
      <c r="AC54" s="408"/>
      <c r="AD54" s="409"/>
      <c r="AE54" s="100" t="s">
        <v>468</v>
      </c>
      <c r="AF54" s="391"/>
      <c r="AG54" s="391"/>
      <c r="AH54" s="391"/>
      <c r="AI54" s="391"/>
      <c r="AJ54" s="391"/>
      <c r="AK54" s="391"/>
      <c r="AL54" s="391"/>
      <c r="AM54" s="391"/>
      <c r="AN54" s="391"/>
      <c r="AO54" s="392" t="str">
        <f>AP51&amp;"-"&amp;AR51</f>
        <v>-</v>
      </c>
      <c r="AP54" s="391"/>
      <c r="AQ54" s="391"/>
      <c r="AR54" s="391"/>
      <c r="AS54" s="391"/>
      <c r="AT54" s="355"/>
      <c r="AU54" s="1135"/>
      <c r="AX54" s="87" t="str">
        <f t="shared" ref="AX54:AX62" si="3">IF(T54="","",T54)</f>
        <v/>
      </c>
      <c r="BA54" s="17">
        <v>11</v>
      </c>
    </row>
    <row r="55" spans="1:53" ht="11.45" customHeight="1">
      <c r="A55" s="353" t="s">
        <v>201</v>
      </c>
      <c r="B55" s="353" t="s">
        <v>202</v>
      </c>
      <c r="C55" s="353" t="s">
        <v>203</v>
      </c>
      <c r="D55" s="353" t="s">
        <v>204</v>
      </c>
      <c r="E55" s="1112"/>
      <c r="F55" s="1112"/>
      <c r="G55" s="1112"/>
      <c r="H55" s="1112"/>
      <c r="I55" s="1114"/>
      <c r="J55" s="1113"/>
      <c r="P55" s="964"/>
      <c r="Q55" s="964"/>
      <c r="R55" s="307"/>
      <c r="S55" s="318"/>
      <c r="T55" s="321" t="s">
        <v>469</v>
      </c>
      <c r="U55" s="117"/>
      <c r="V55" s="117"/>
      <c r="W55" s="117"/>
      <c r="X55" s="117"/>
      <c r="Y55" s="117"/>
      <c r="Z55" s="117"/>
      <c r="AA55" s="320"/>
      <c r="AB55" s="422"/>
      <c r="AC55" s="117"/>
      <c r="AD55" s="117"/>
      <c r="AE55" s="117"/>
      <c r="AF55" s="117"/>
      <c r="AG55" s="117"/>
      <c r="AH55" s="117"/>
      <c r="AI55" s="117"/>
      <c r="AJ55" s="117"/>
      <c r="AK55" s="117"/>
      <c r="AL55" s="117"/>
      <c r="AM55" s="117"/>
      <c r="AN55" s="117"/>
      <c r="AO55" s="117"/>
      <c r="AP55" s="117"/>
      <c r="AQ55" s="117"/>
      <c r="AR55" s="117"/>
      <c r="AS55" s="117"/>
      <c r="AT55" s="320"/>
      <c r="AU55" s="1136"/>
      <c r="AX55" s="87" t="str">
        <f t="shared" si="3"/>
        <v>Добавить строку</v>
      </c>
      <c r="BA55" s="17">
        <v>11</v>
      </c>
    </row>
    <row r="56" spans="1:53" ht="1.1499999999999999" customHeight="1">
      <c r="A56" s="72" t="s">
        <v>201</v>
      </c>
      <c r="B56" s="72" t="s">
        <v>202</v>
      </c>
      <c r="C56" s="72" t="s">
        <v>203</v>
      </c>
      <c r="D56" s="72" t="s">
        <v>204</v>
      </c>
      <c r="E56" s="1112"/>
      <c r="F56" s="1112"/>
      <c r="G56" s="1112"/>
      <c r="H56" s="1112"/>
      <c r="I56" s="1113"/>
      <c r="P56" s="964"/>
      <c r="R56" s="307"/>
      <c r="S56" s="367"/>
      <c r="T56" s="368" t="s">
        <v>413</v>
      </c>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70"/>
      <c r="AX56" s="87" t="str">
        <f t="shared" si="3"/>
        <v>Добавить группу потребителей</v>
      </c>
      <c r="BA56" s="75">
        <v>1</v>
      </c>
    </row>
    <row r="57" spans="1:53" ht="1.1499999999999999" customHeight="1">
      <c r="A57" s="72" t="s">
        <v>201</v>
      </c>
      <c r="B57" s="72" t="s">
        <v>202</v>
      </c>
      <c r="C57" s="72" t="s">
        <v>203</v>
      </c>
      <c r="D57" s="72" t="s">
        <v>204</v>
      </c>
      <c r="E57" s="1112"/>
      <c r="F57" s="1112"/>
      <c r="G57" s="1112"/>
      <c r="H57" s="1111"/>
      <c r="R57" s="423"/>
      <c r="S57" s="367"/>
      <c r="T57" s="368"/>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70"/>
      <c r="AX57" s="87" t="str">
        <f t="shared" si="3"/>
        <v/>
      </c>
      <c r="BA57" s="258">
        <v>1</v>
      </c>
    </row>
    <row r="58" spans="1:53" ht="1.1499999999999999" customHeight="1">
      <c r="A58" s="72" t="s">
        <v>201</v>
      </c>
      <c r="B58" s="72" t="s">
        <v>202</v>
      </c>
      <c r="C58" s="72" t="s">
        <v>203</v>
      </c>
      <c r="E58" s="1112"/>
      <c r="F58" s="1112"/>
      <c r="G58" s="1111"/>
      <c r="T58" s="329" t="s">
        <v>415</v>
      </c>
      <c r="AX58" s="87" t="str">
        <f t="shared" si="3"/>
        <v>Добавить источник для дифференциации</v>
      </c>
      <c r="BA58" s="75">
        <v>1</v>
      </c>
    </row>
    <row r="59" spans="1:53" ht="1.1499999999999999" customHeight="1">
      <c r="A59" s="72" t="s">
        <v>201</v>
      </c>
      <c r="B59" s="72" t="s">
        <v>202</v>
      </c>
      <c r="E59" s="1112"/>
      <c r="F59" s="1111"/>
      <c r="T59" s="329" t="s">
        <v>416</v>
      </c>
      <c r="AX59" s="87" t="str">
        <f t="shared" si="3"/>
        <v>Добавить централизованную систему для дифференциации</v>
      </c>
      <c r="BA59" s="75">
        <v>1</v>
      </c>
    </row>
    <row r="60" spans="1:53" ht="1.1499999999999999" customHeight="1">
      <c r="A60" s="72" t="s">
        <v>201</v>
      </c>
      <c r="E60" s="1112"/>
      <c r="T60" s="329" t="s">
        <v>417</v>
      </c>
      <c r="AX60" s="87" t="str">
        <f t="shared" si="3"/>
        <v>Добавить территорию для дифференциации</v>
      </c>
      <c r="BA60" s="75">
        <v>1</v>
      </c>
    </row>
    <row r="61" spans="1:53" ht="1.1499999999999999" customHeight="1">
      <c r="A61" s="72" t="s">
        <v>201</v>
      </c>
      <c r="E61" s="1111"/>
      <c r="T61" s="329" t="s">
        <v>417</v>
      </c>
      <c r="AX61" s="87" t="str">
        <f t="shared" si="3"/>
        <v>Добавить территорию для дифференциации</v>
      </c>
      <c r="BA61" s="75">
        <v>1</v>
      </c>
    </row>
    <row r="62" spans="1:53" ht="1.1499999999999999" customHeight="1">
      <c r="T62" s="329" t="s">
        <v>449</v>
      </c>
      <c r="AX62" s="87" t="str">
        <f t="shared" si="3"/>
        <v>Добавить наименование тарифа</v>
      </c>
      <c r="BA62" s="75">
        <v>1</v>
      </c>
    </row>
    <row r="63" spans="1:53" ht="11.45" customHeight="1">
      <c r="BA63" s="17">
        <v>11</v>
      </c>
    </row>
    <row r="64" spans="1:53" ht="19.899999999999999" customHeight="1">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BA64" s="17">
        <v>19</v>
      </c>
    </row>
    <row r="65" spans="1:53" ht="21" customHeight="1">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BA65" s="17">
        <v>20</v>
      </c>
    </row>
    <row r="66" spans="1:53" ht="14.65" customHeight="1">
      <c r="BA66" s="17">
        <v>14</v>
      </c>
    </row>
    <row r="67" spans="1:53" ht="19.899999999999999" customHeight="1">
      <c r="T67" s="964"/>
      <c r="U67" s="964"/>
      <c r="V67" s="964"/>
      <c r="W67" s="964"/>
      <c r="X67" s="964"/>
      <c r="Y67" s="964"/>
      <c r="Z67" s="964"/>
      <c r="AA67" s="964"/>
      <c r="AB67" s="964"/>
      <c r="AC67" s="964"/>
      <c r="AD67" s="964"/>
      <c r="AE67" s="964"/>
      <c r="AF67" s="964"/>
      <c r="AG67" s="964"/>
      <c r="AH67" s="964"/>
      <c r="AI67" s="964"/>
      <c r="AJ67" s="964"/>
      <c r="AK67" s="964"/>
      <c r="AL67" s="964"/>
      <c r="AM67" s="964"/>
      <c r="AN67" s="964"/>
      <c r="AO67" s="964"/>
      <c r="AP67" s="964"/>
      <c r="AQ67" s="964"/>
      <c r="AR67" s="964"/>
      <c r="AS67" s="964"/>
      <c r="AT67" s="964"/>
      <c r="AU67" s="964"/>
      <c r="BA67" s="17">
        <v>19</v>
      </c>
    </row>
    <row r="68" spans="1:53" ht="16.899999999999999" customHeight="1">
      <c r="T68" s="964"/>
      <c r="U68" s="964"/>
      <c r="V68" s="964"/>
      <c r="W68" s="964"/>
      <c r="X68" s="964"/>
      <c r="Y68" s="964"/>
      <c r="Z68" s="964"/>
      <c r="AA68" s="964"/>
      <c r="AB68" s="964"/>
      <c r="AC68" s="964"/>
      <c r="AD68" s="964"/>
      <c r="AE68" s="964"/>
      <c r="AF68" s="964"/>
      <c r="AG68" s="964"/>
      <c r="AH68" s="964"/>
      <c r="AI68" s="964"/>
      <c r="AJ68" s="964"/>
      <c r="AK68" s="964"/>
      <c r="AL68" s="964"/>
      <c r="AM68" s="964"/>
      <c r="AN68" s="964"/>
      <c r="AO68" s="964"/>
      <c r="AP68" s="964"/>
      <c r="AQ68" s="964"/>
      <c r="AR68" s="964"/>
      <c r="AS68" s="964"/>
      <c r="AT68" s="964"/>
      <c r="AU68" s="964"/>
      <c r="BA68" s="17">
        <v>16</v>
      </c>
    </row>
    <row r="69" spans="1:53" ht="14.65" customHeight="1">
      <c r="BA69" s="17">
        <v>14</v>
      </c>
    </row>
    <row r="70" spans="1:53" ht="22.5" hidden="1" customHeight="1">
      <c r="A70" s="37" t="s">
        <v>82</v>
      </c>
      <c r="B70" s="37">
        <v>0</v>
      </c>
      <c r="C70" s="37">
        <v>0</v>
      </c>
      <c r="D70" s="37">
        <v>0</v>
      </c>
      <c r="E70" s="37">
        <v>0</v>
      </c>
      <c r="F70" s="37">
        <v>0</v>
      </c>
      <c r="G70" s="37">
        <v>0</v>
      </c>
      <c r="H70" s="37">
        <v>0</v>
      </c>
      <c r="I70" s="37">
        <v>0</v>
      </c>
      <c r="J70" s="37">
        <v>0</v>
      </c>
      <c r="K70" s="37">
        <v>0</v>
      </c>
      <c r="L70" s="240">
        <v>0</v>
      </c>
      <c r="M70" s="41">
        <v>0</v>
      </c>
      <c r="N70" s="41">
        <v>0</v>
      </c>
      <c r="O70" s="41">
        <v>0</v>
      </c>
      <c r="P70" s="41">
        <v>3</v>
      </c>
      <c r="Q70" s="424">
        <v>3</v>
      </c>
      <c r="R70" s="357">
        <v>3</v>
      </c>
      <c r="S70" s="33">
        <v>12</v>
      </c>
      <c r="T70" s="17">
        <v>31</v>
      </c>
      <c r="U70" s="17">
        <v>0</v>
      </c>
      <c r="V70" s="17">
        <v>0</v>
      </c>
      <c r="W70" s="17">
        <v>0</v>
      </c>
      <c r="X70" s="17">
        <v>0</v>
      </c>
      <c r="Y70" s="17">
        <v>0</v>
      </c>
      <c r="Z70" s="17">
        <v>0</v>
      </c>
      <c r="AA70" s="17">
        <v>0</v>
      </c>
      <c r="AB70" s="17">
        <v>5</v>
      </c>
      <c r="AC70" s="17">
        <v>3</v>
      </c>
      <c r="AD70" s="17">
        <v>3</v>
      </c>
      <c r="AE70" s="17">
        <v>24</v>
      </c>
      <c r="AF70" s="17">
        <v>3</v>
      </c>
      <c r="AG70" s="17">
        <v>3</v>
      </c>
      <c r="AH70" s="17">
        <v>3</v>
      </c>
      <c r="AI70" s="17">
        <v>24</v>
      </c>
      <c r="AJ70" s="17">
        <v>3</v>
      </c>
      <c r="AK70" s="17">
        <v>3</v>
      </c>
      <c r="AL70" s="17">
        <v>3</v>
      </c>
      <c r="AM70" s="17">
        <v>18</v>
      </c>
      <c r="AN70" s="17">
        <v>21</v>
      </c>
      <c r="AO70" s="17">
        <v>21</v>
      </c>
      <c r="AP70" s="17">
        <v>11</v>
      </c>
      <c r="AQ70" s="17">
        <v>3</v>
      </c>
      <c r="AR70" s="17">
        <v>11</v>
      </c>
      <c r="AS70" s="17">
        <v>8</v>
      </c>
      <c r="AT70" s="17">
        <v>4</v>
      </c>
      <c r="AU70" s="17">
        <v>115</v>
      </c>
      <c r="AV70" s="75">
        <v>10</v>
      </c>
      <c r="AW70" s="75">
        <v>10</v>
      </c>
      <c r="AX70" s="75">
        <v>10</v>
      </c>
      <c r="AY70" s="75">
        <v>10</v>
      </c>
      <c r="AZ70" s="75">
        <v>10</v>
      </c>
      <c r="BA70" s="17">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A443-52E1-0FE1-317D-F03702CCAF0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c r="AQ1" s="17" t="s">
        <v>14</v>
      </c>
    </row>
    <row r="2" spans="5:43" ht="23.25" hidden="1" customHeight="1">
      <c r="E2" s="1111">
        <v>1</v>
      </c>
      <c r="R2" s="294"/>
      <c r="S2" s="295" t="e">
        <f>INDEX(PT_DIFFERENTIATION_NUM_NTAR,MATCH(A2,PT_DIFFERENTIATION_NTAR_ID,0))</f>
        <v>#N/A</v>
      </c>
      <c r="T2" s="296" t="s">
        <v>126</v>
      </c>
      <c r="U2" s="297"/>
      <c r="V2" s="1106"/>
      <c r="W2" s="1107"/>
      <c r="X2" s="1107"/>
      <c r="Y2" s="1107"/>
      <c r="Z2" s="1107"/>
      <c r="AA2" s="1107"/>
      <c r="AB2" s="1108"/>
      <c r="AC2" s="1106" t="e">
        <f>INDEX(PT_DIFFERENTIATION_NTAR,MATCH(A2,PT_DIFFERENTIATION_NTAR_ID,0))</f>
        <v>#N/A</v>
      </c>
      <c r="AD2" s="1107"/>
      <c r="AE2" s="1107"/>
      <c r="AF2" s="1107"/>
      <c r="AG2" s="1107"/>
      <c r="AH2" s="1107"/>
      <c r="AI2" s="1107"/>
      <c r="AJ2" s="1108"/>
      <c r="AK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7" t="str">
        <f t="shared" ref="AN2:AN13" si="0">IF(T2="","",T2)</f>
        <v>Наименование тарифа</v>
      </c>
      <c r="AQ2" s="17">
        <v>0</v>
      </c>
    </row>
    <row r="3" spans="5:43"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8"/>
      <c r="AC3" s="1106" t="e">
        <f>INDEX(PT_DIFFERENTIATION_TER,MATCH(B3,PT_DIFFERENTIATION_TER_ID,0))</f>
        <v>#N/A</v>
      </c>
      <c r="AD3" s="1107"/>
      <c r="AE3" s="1107"/>
      <c r="AF3" s="1107"/>
      <c r="AG3" s="1107"/>
      <c r="AH3" s="1107"/>
      <c r="AI3" s="1107"/>
      <c r="AJ3" s="1108"/>
      <c r="AK3" s="299" t="s">
        <v>399</v>
      </c>
      <c r="AN3" s="87" t="str">
        <f t="shared" si="0"/>
        <v>Территория действия тарифа</v>
      </c>
      <c r="AQ3" s="17">
        <v>0</v>
      </c>
    </row>
    <row r="4" spans="5:43" ht="23.25" hidden="1" customHeight="1">
      <c r="E4" s="1112"/>
      <c r="F4" s="1112"/>
      <c r="G4" s="1111">
        <v>1</v>
      </c>
      <c r="Q4" s="300"/>
      <c r="R4" s="301"/>
      <c r="S4" s="295" t="e">
        <f>INDEX(PT_DIFFERENTIATION_NUM_CS,MATCH(C4,PT_DIFFERENTIATION_CS_ID,0))</f>
        <v>#N/A</v>
      </c>
      <c r="T4" s="303" t="s">
        <v>482</v>
      </c>
      <c r="U4" s="297"/>
      <c r="V4" s="1106"/>
      <c r="W4" s="1107"/>
      <c r="X4" s="1107"/>
      <c r="Y4" s="1107"/>
      <c r="Z4" s="1107"/>
      <c r="AA4" s="1107"/>
      <c r="AB4" s="1108"/>
      <c r="AC4" s="1106" t="e">
        <f>INDEX(PT_DIFFERENTIATION_CS,MATCH(C4,PT_DIFFERENTIATION_CS_ID,0))</f>
        <v>#N/A</v>
      </c>
      <c r="AD4" s="1107"/>
      <c r="AE4" s="1107"/>
      <c r="AF4" s="1107"/>
      <c r="AG4" s="1107"/>
      <c r="AH4" s="1107"/>
      <c r="AI4" s="1107"/>
      <c r="AJ4" s="1108"/>
      <c r="AK4" s="299" t="s">
        <v>483</v>
      </c>
      <c r="AN4" s="87" t="str">
        <f t="shared" si="0"/>
        <v>Наименование централизованной системы холодного водоснабжения</v>
      </c>
      <c r="AQ4" s="17">
        <v>0</v>
      </c>
    </row>
    <row r="5" spans="5:43"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1"/>
      <c r="AC5" s="1182"/>
      <c r="AD5" s="1183"/>
      <c r="AE5" s="1183"/>
      <c r="AF5" s="1183"/>
      <c r="AG5" s="1183"/>
      <c r="AH5" s="1183"/>
      <c r="AI5" s="1183"/>
      <c r="AJ5" s="1184"/>
      <c r="AK5" s="299" t="s">
        <v>485</v>
      </c>
      <c r="AN5" s="87" t="str">
        <f t="shared" si="0"/>
        <v>Наименование признака дифференциации</v>
      </c>
      <c r="AQ5" s="17">
        <v>0</v>
      </c>
    </row>
    <row r="6" spans="5:43"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2"/>
      <c r="AC6" s="1100"/>
      <c r="AD6" s="1101"/>
      <c r="AE6" s="1101"/>
      <c r="AF6" s="1101"/>
      <c r="AG6" s="1101"/>
      <c r="AH6" s="1101"/>
      <c r="AI6" s="1101"/>
      <c r="AJ6" s="1102"/>
      <c r="AK6" s="386" t="s">
        <v>486</v>
      </c>
      <c r="AN6" s="87" t="str">
        <f t="shared" si="0"/>
        <v>Группа потребителей</v>
      </c>
      <c r="AQ6" s="17">
        <v>0</v>
      </c>
    </row>
    <row r="7" spans="5:43" ht="23.25" hidden="1" customHeight="1">
      <c r="E7" s="1112"/>
      <c r="F7" s="1112"/>
      <c r="G7" s="1112"/>
      <c r="H7" s="1112"/>
      <c r="I7" s="1114"/>
      <c r="J7" s="1114"/>
      <c r="K7" s="1113" t="e">
        <f>J6&amp;".1"</f>
        <v>#N/A</v>
      </c>
      <c r="P7" s="964"/>
      <c r="Q7" s="964"/>
      <c r="R7" s="309">
        <v>1</v>
      </c>
      <c r="S7" s="295" t="e">
        <f>$K7</f>
        <v>#N/A</v>
      </c>
      <c r="T7" s="426"/>
      <c r="U7" s="297"/>
      <c r="V7" s="312"/>
      <c r="W7" s="312"/>
      <c r="X7" s="314"/>
      <c r="Y7" s="1116"/>
      <c r="Z7" s="1004" t="s">
        <v>66</v>
      </c>
      <c r="AA7" s="1116"/>
      <c r="AB7" s="1004" t="s">
        <v>66</v>
      </c>
      <c r="AC7" s="312"/>
      <c r="AD7" s="312"/>
      <c r="AE7" s="314"/>
      <c r="AF7" s="1116"/>
      <c r="AG7" s="1004" t="s">
        <v>66</v>
      </c>
      <c r="AH7" s="1118"/>
      <c r="AI7" s="1004" t="s">
        <v>66</v>
      </c>
      <c r="AJ7" s="427"/>
      <c r="AK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 t="e">
        <f ca="1">STRCHECKDATE(V8:AJ8)</f>
        <v>#NAME?</v>
      </c>
      <c r="AN7" s="87" t="str">
        <f t="shared" si="0"/>
        <v/>
      </c>
      <c r="AQ7" s="17">
        <v>0</v>
      </c>
    </row>
    <row r="8" spans="5:43" ht="14.25" hidden="1" customHeight="1">
      <c r="E8" s="1112"/>
      <c r="F8" s="1112"/>
      <c r="G8" s="1112"/>
      <c r="H8" s="1112"/>
      <c r="I8" s="1114"/>
      <c r="J8" s="1114"/>
      <c r="K8" s="1113"/>
      <c r="P8" s="964"/>
      <c r="Q8" s="964"/>
      <c r="R8" s="309"/>
      <c r="S8" s="278"/>
      <c r="T8" s="297"/>
      <c r="U8" s="297"/>
      <c r="V8" s="313"/>
      <c r="W8" s="313"/>
      <c r="X8" s="316" t="str">
        <f>Y7&amp;"-"&amp;AA7</f>
        <v>-</v>
      </c>
      <c r="Y8" s="1117"/>
      <c r="Z8" s="1004"/>
      <c r="AA8" s="1117"/>
      <c r="AB8" s="1004"/>
      <c r="AC8" s="313"/>
      <c r="AD8" s="313"/>
      <c r="AE8" s="316" t="str">
        <f>AF7&amp;"-"&amp;AH7</f>
        <v>-</v>
      </c>
      <c r="AF8" s="1117"/>
      <c r="AG8" s="1004"/>
      <c r="AH8" s="1119"/>
      <c r="AI8" s="1004"/>
      <c r="AJ8" s="428"/>
      <c r="AK8" s="1185"/>
      <c r="AN8" s="87" t="str">
        <f t="shared" si="0"/>
        <v/>
      </c>
      <c r="AQ8" s="17">
        <v>0</v>
      </c>
    </row>
    <row r="9" spans="5:43"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299" t="s">
        <v>488</v>
      </c>
      <c r="AN9" s="87" t="str">
        <f t="shared" si="0"/>
        <v>Добавить значение признака дифференциации</v>
      </c>
      <c r="AQ9" s="17">
        <v>0</v>
      </c>
    </row>
    <row r="10" spans="5:43" ht="21" hidden="1" customHeight="1">
      <c r="E10" s="1112"/>
      <c r="F10" s="1112"/>
      <c r="G10" s="1112"/>
      <c r="H10" s="1112"/>
      <c r="I10" s="1113"/>
      <c r="P10" s="964"/>
      <c r="R10" s="307"/>
      <c r="S10" s="318"/>
      <c r="T10" s="324" t="s">
        <v>413</v>
      </c>
      <c r="U10" s="117"/>
      <c r="V10" s="117"/>
      <c r="W10" s="117"/>
      <c r="X10" s="117"/>
      <c r="Y10" s="117"/>
      <c r="Z10" s="117"/>
      <c r="AA10" s="117"/>
      <c r="AB10" s="322"/>
      <c r="AC10" s="117"/>
      <c r="AD10" s="117"/>
      <c r="AE10" s="117"/>
      <c r="AF10" s="117"/>
      <c r="AG10" s="117"/>
      <c r="AH10" s="117"/>
      <c r="AI10" s="322"/>
      <c r="AJ10" s="117"/>
      <c r="AK10" s="429"/>
      <c r="AN10" s="87" t="str">
        <f t="shared" si="0"/>
        <v>Добавить группу потребителей</v>
      </c>
      <c r="AQ10" s="17">
        <v>0</v>
      </c>
    </row>
    <row r="11" spans="5:43" ht="14.25" hidden="1" customHeight="1">
      <c r="E11" s="1112"/>
      <c r="F11" s="1112"/>
      <c r="G11" s="1112"/>
      <c r="H11" s="1111"/>
      <c r="R11" s="294"/>
      <c r="S11" s="318"/>
      <c r="T11" s="430" t="s">
        <v>489</v>
      </c>
      <c r="U11" s="117"/>
      <c r="V11" s="117"/>
      <c r="W11" s="117"/>
      <c r="X11" s="117"/>
      <c r="Y11" s="117"/>
      <c r="Z11" s="117"/>
      <c r="AA11" s="117"/>
      <c r="AB11" s="322"/>
      <c r="AC11" s="117"/>
      <c r="AD11" s="117"/>
      <c r="AE11" s="117"/>
      <c r="AF11" s="117"/>
      <c r="AG11" s="117"/>
      <c r="AH11" s="117"/>
      <c r="AI11" s="322"/>
      <c r="AJ11" s="117"/>
      <c r="AK11" s="323"/>
      <c r="AN11" s="87" t="str">
        <f t="shared" si="0"/>
        <v>Добавить наименование признака дифференциации</v>
      </c>
      <c r="AQ11" s="17">
        <v>0</v>
      </c>
    </row>
    <row r="12" spans="5:43" ht="14.25" hidden="1" customHeight="1">
      <c r="E12" s="1112"/>
      <c r="F12" s="1111"/>
      <c r="T12" s="329" t="s">
        <v>416</v>
      </c>
      <c r="AN12" s="87" t="str">
        <f t="shared" si="0"/>
        <v>Добавить централизованную систему для дифференциации</v>
      </c>
      <c r="AQ12" s="75">
        <v>0</v>
      </c>
    </row>
    <row r="13" spans="5:43" ht="14.25" hidden="1" customHeight="1">
      <c r="E13" s="1111"/>
      <c r="T13" s="329" t="s">
        <v>417</v>
      </c>
      <c r="AN13" s="87" t="str">
        <f t="shared" si="0"/>
        <v>Добавить территорию для дифференциации</v>
      </c>
      <c r="AQ13" s="75">
        <v>0</v>
      </c>
    </row>
    <row r="14" spans="5:43" ht="14.25" hidden="1" customHeight="1">
      <c r="AQ14" s="17">
        <v>0</v>
      </c>
    </row>
    <row r="15" spans="5:43" ht="14.25" hidden="1" customHeight="1">
      <c r="AC15" s="330"/>
      <c r="AD15" s="330"/>
      <c r="AE15" s="331"/>
      <c r="AF15" s="1110"/>
      <c r="AG15" s="1109" t="s">
        <v>66</v>
      </c>
      <c r="AH15" s="1110"/>
      <c r="AI15" s="1109" t="s">
        <v>66</v>
      </c>
      <c r="AQ15" s="17">
        <v>0</v>
      </c>
    </row>
    <row r="16" spans="5:43" ht="14.25" hidden="1" customHeight="1">
      <c r="AC16" s="330"/>
      <c r="AD16" s="330"/>
      <c r="AE16" s="316" t="str">
        <f>AF15&amp;"-"&amp;AH15</f>
        <v>-</v>
      </c>
      <c r="AF16" s="1109"/>
      <c r="AG16" s="1109"/>
      <c r="AH16" s="1109"/>
      <c r="AI16" s="1109"/>
      <c r="AQ16" s="17">
        <v>0</v>
      </c>
    </row>
    <row r="17" spans="15:43" ht="14.25" hidden="1" customHeight="1">
      <c r="AQ17" s="17">
        <v>0</v>
      </c>
    </row>
    <row r="18" spans="15:43" ht="22.5" hidden="1" customHeight="1">
      <c r="O18" s="332" t="s">
        <v>418</v>
      </c>
      <c r="Y18" s="332"/>
      <c r="AA18" s="332"/>
      <c r="AF18" s="332"/>
      <c r="AH18" s="332"/>
      <c r="AQ18" s="37">
        <v>0</v>
      </c>
    </row>
    <row r="19" spans="15:43" ht="14.25" hidden="1" customHeight="1">
      <c r="AQ19" s="37">
        <v>0</v>
      </c>
    </row>
    <row r="20" spans="15:43" ht="12" hidden="1" customHeight="1">
      <c r="O20" s="306" t="s">
        <v>419</v>
      </c>
      <c r="T20" s="37" t="s">
        <v>420</v>
      </c>
      <c r="Z20" s="126" t="s">
        <v>421</v>
      </c>
      <c r="AB20" s="126" t="s">
        <v>422</v>
      </c>
      <c r="AC20" s="37" t="s">
        <v>420</v>
      </c>
      <c r="AG20" s="126" t="s">
        <v>423</v>
      </c>
      <c r="AI20" s="126" t="s">
        <v>422</v>
      </c>
      <c r="AQ20" s="37">
        <v>0</v>
      </c>
    </row>
    <row r="21" spans="15:43" ht="14.25" hidden="1" customHeight="1">
      <c r="AQ21" s="17">
        <v>0</v>
      </c>
    </row>
    <row r="22" spans="15:43" ht="14.25" hidden="1" customHeight="1">
      <c r="AQ22" s="17">
        <v>0</v>
      </c>
    </row>
    <row r="23" spans="15:43" ht="14.65" customHeight="1">
      <c r="Q23" s="333"/>
      <c r="R23" s="333"/>
      <c r="S23" s="334"/>
      <c r="T23" s="38"/>
      <c r="U23" s="38"/>
      <c r="AQ23" s="17">
        <v>14</v>
      </c>
    </row>
    <row r="24" spans="15:43" ht="14.65" customHeight="1">
      <c r="Q24" s="333"/>
      <c r="R24" s="333"/>
      <c r="S24" s="10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093"/>
      <c r="U24" s="1093"/>
      <c r="V24" s="1093"/>
      <c r="W24" s="1093"/>
      <c r="X24" s="1093"/>
      <c r="Y24" s="1093"/>
      <c r="Z24" s="1093"/>
      <c r="AA24" s="1093"/>
      <c r="AB24" s="1093"/>
      <c r="AC24" s="1093"/>
      <c r="AD24" s="1093"/>
      <c r="AE24" s="1093"/>
      <c r="AF24" s="1093"/>
      <c r="AG24" s="1093"/>
      <c r="AH24" s="1093"/>
      <c r="AQ24" s="17">
        <v>14</v>
      </c>
    </row>
    <row r="25" spans="15:43"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Q25" s="17">
        <v>14</v>
      </c>
    </row>
    <row r="26" spans="15:43" ht="14.25" hidden="1" customHeight="1">
      <c r="Q26" s="333"/>
      <c r="R26" s="333"/>
      <c r="S26" s="334"/>
      <c r="T26" s="38"/>
      <c r="U26" s="38"/>
      <c r="V26" s="335"/>
      <c r="W26" s="335"/>
      <c r="X26" s="335"/>
      <c r="Y26" s="335"/>
      <c r="Z26" s="335"/>
      <c r="AA26" s="335"/>
      <c r="AB26" s="335"/>
      <c r="AC26" s="335"/>
      <c r="AD26" s="335"/>
      <c r="AE26" s="335"/>
      <c r="AF26" s="335"/>
      <c r="AG26" s="335"/>
      <c r="AH26" s="335"/>
      <c r="AI26" s="335"/>
      <c r="AQ26" s="17">
        <v>0</v>
      </c>
    </row>
    <row r="27" spans="15:43" ht="25.5" hidden="1" customHeight="1">
      <c r="S27" s="1103" t="s">
        <v>42</v>
      </c>
      <c r="T27" s="1103"/>
      <c r="U27" s="337"/>
      <c r="V27" s="1105" t="str">
        <f>IF(TITLE_NAME_OR_PR_CHANGE="",IF(TITLE_NAME_OR_PR="","",TITLE_NAME_OR_PR),TITLE_NAME_OR_PR_CHANGE)</f>
        <v/>
      </c>
      <c r="W27" s="1105"/>
      <c r="X27" s="1105"/>
      <c r="Y27" s="1105"/>
      <c r="Z27" s="1105"/>
      <c r="AA27" s="1105"/>
      <c r="AC27" s="1105" t="str">
        <f>IF(TITLE_NAME_OR_PR_CHANGE="",IF(TITLE_NAME_OR_PR="","",TITLE_NAME_OR_PR),TITLE_NAME_OR_PR_CHANGE)</f>
        <v/>
      </c>
      <c r="AD27" s="1105"/>
      <c r="AE27" s="1105"/>
      <c r="AF27" s="1105"/>
      <c r="AG27" s="1105"/>
      <c r="AH27" s="1105"/>
      <c r="AQ27" s="111">
        <v>0</v>
      </c>
    </row>
    <row r="28" spans="15:43" ht="18.75" hidden="1" customHeight="1">
      <c r="S28" s="1103" t="s">
        <v>424</v>
      </c>
      <c r="T28" s="1103"/>
      <c r="U28" s="337"/>
      <c r="V28" s="1104" t="str">
        <f>IF(TITLE_DATE_PR_CHANGE="",IF(TITLE_DATE_PR="","",TITLE_DATE_PR),TITLE_DATE_PR_CHANGE)</f>
        <v/>
      </c>
      <c r="W28" s="1104"/>
      <c r="X28" s="1104"/>
      <c r="Y28" s="1104"/>
      <c r="Z28" s="1104"/>
      <c r="AA28" s="1104"/>
      <c r="AC28" s="1104" t="str">
        <f>IF(TITLE_DATE_PR_CHANGE="",IF(TITLE_DATE_PR="","",TITLE_DATE_PR),TITLE_DATE_PR_CHANGE)</f>
        <v/>
      </c>
      <c r="AD28" s="1104"/>
      <c r="AE28" s="1104"/>
      <c r="AF28" s="1104"/>
      <c r="AG28" s="1104"/>
      <c r="AH28" s="1104"/>
      <c r="AQ28" s="111">
        <v>0</v>
      </c>
    </row>
    <row r="29" spans="15:43" ht="18.75" hidden="1" customHeight="1">
      <c r="S29" s="1103" t="s">
        <v>425</v>
      </c>
      <c r="T29" s="1103"/>
      <c r="U29" s="337"/>
      <c r="V29" s="1105" t="str">
        <f>IF(TITLE_NUMBER_PR_CHANGE="",IF(TITLE_NUMBER_PR="","",TITLE_NUMBER_PR),TITLE_NUMBER_PR_CHANGE)</f>
        <v/>
      </c>
      <c r="W29" s="1105"/>
      <c r="X29" s="1105"/>
      <c r="Y29" s="1105"/>
      <c r="Z29" s="1105"/>
      <c r="AA29" s="1105"/>
      <c r="AC29" s="1105" t="str">
        <f>IF(TITLE_NUMBER_PR_CHANGE="",IF(TITLE_NUMBER_PR="","",TITLE_NUMBER_PR),TITLE_NUMBER_PR_CHANGE)</f>
        <v/>
      </c>
      <c r="AD29" s="1105"/>
      <c r="AE29" s="1105"/>
      <c r="AF29" s="1105"/>
      <c r="AG29" s="1105"/>
      <c r="AH29" s="1105"/>
      <c r="AQ29" s="111">
        <v>0</v>
      </c>
    </row>
    <row r="30" spans="15:43" ht="18.75" hidden="1" customHeight="1">
      <c r="S30" s="1103" t="s">
        <v>43</v>
      </c>
      <c r="T30" s="1103"/>
      <c r="U30" s="337"/>
      <c r="V30" s="1105" t="str">
        <f>IF(TITLE_IST_PUB_CHANGE="",IF(TITLE_IST_PUB="","",TITLE_IST_PUB),TITLE_IST_PUB_CHANGE)</f>
        <v/>
      </c>
      <c r="W30" s="1105"/>
      <c r="X30" s="1105"/>
      <c r="Y30" s="1105"/>
      <c r="Z30" s="1105"/>
      <c r="AA30" s="1105"/>
      <c r="AC30" s="1105" t="str">
        <f>IF(TITLE_IST_PUB_CHANGE="",IF(TITLE_IST_PUB="","",TITLE_IST_PUB),TITLE_IST_PUB_CHANGE)</f>
        <v/>
      </c>
      <c r="AD30" s="1105"/>
      <c r="AE30" s="1105"/>
      <c r="AF30" s="1105"/>
      <c r="AG30" s="1105"/>
      <c r="AH30" s="1105"/>
      <c r="AQ30" s="111">
        <v>0</v>
      </c>
    </row>
    <row r="31" spans="15:43" ht="14.25" hidden="1" customHeight="1">
      <c r="Q31" s="333"/>
      <c r="R31" s="333"/>
      <c r="S31" s="334"/>
      <c r="T31" s="38"/>
      <c r="U31" s="38"/>
      <c r="V31" s="335"/>
      <c r="W31" s="335"/>
      <c r="X31" s="335"/>
      <c r="Y31" s="335"/>
      <c r="Z31" s="335"/>
      <c r="AA31" s="335"/>
      <c r="AB31" s="335"/>
      <c r="AC31" s="335"/>
      <c r="AD31" s="335"/>
      <c r="AE31" s="335"/>
      <c r="AF31" s="335"/>
      <c r="AG31" s="335"/>
      <c r="AH31" s="335"/>
      <c r="AI31" s="335"/>
      <c r="AQ31" s="17">
        <v>0</v>
      </c>
    </row>
    <row r="32" spans="15:43" ht="18.75" hidden="1" customHeight="1">
      <c r="S32" s="1103" t="s">
        <v>426</v>
      </c>
      <c r="T32" s="1103"/>
      <c r="U32" s="337"/>
      <c r="V32" s="1104" t="str">
        <f>IF(TITLE_DATE_PR_CHANGE="",IF(TITLE_DATE_PR="","",TITLE_DATE_PR),TITLE_DATE_PR_CHANGE)</f>
        <v/>
      </c>
      <c r="W32" s="1104"/>
      <c r="X32" s="1104"/>
      <c r="Y32" s="1104"/>
      <c r="Z32" s="1104"/>
      <c r="AA32" s="1104"/>
      <c r="AC32" s="1104" t="str">
        <f>IF(TITLE_DATE_PR_CHANGE="",IF(TITLE_DATE_PR="","",TITLE_DATE_PR),TITLE_DATE_PR_CHANGE)</f>
        <v/>
      </c>
      <c r="AD32" s="1104"/>
      <c r="AE32" s="1104"/>
      <c r="AF32" s="1104"/>
      <c r="AG32" s="1104"/>
      <c r="AH32" s="1104"/>
      <c r="AQ32" s="111">
        <v>0</v>
      </c>
    </row>
    <row r="33" spans="1:43" ht="18.75" hidden="1" customHeight="1">
      <c r="S33" s="1103" t="s">
        <v>427</v>
      </c>
      <c r="T33" s="1103"/>
      <c r="U33" s="337"/>
      <c r="V33" s="1105" t="str">
        <f>IF(TITLE_NUMBER_PR_CHANGE="",IF(TITLE_NUMBER_PR="","",TITLE_NUMBER_PR),TITLE_NUMBER_PR_CHANGE)</f>
        <v/>
      </c>
      <c r="W33" s="1105"/>
      <c r="X33" s="1105"/>
      <c r="Y33" s="1105"/>
      <c r="Z33" s="1105"/>
      <c r="AA33" s="1105"/>
      <c r="AC33" s="1105" t="str">
        <f>IF(TITLE_NUMBER_PR_CHANGE="",IF(TITLE_NUMBER_PR="","",TITLE_NUMBER_PR),TITLE_NUMBER_PR_CHANGE)</f>
        <v/>
      </c>
      <c r="AD33" s="1105"/>
      <c r="AE33" s="1105"/>
      <c r="AF33" s="1105"/>
      <c r="AG33" s="1105"/>
      <c r="AH33" s="1105"/>
      <c r="AQ33" s="111">
        <v>0</v>
      </c>
    </row>
    <row r="34" spans="1:43" ht="1.1499999999999999" customHeight="1">
      <c r="AB34" s="75" t="s">
        <v>428</v>
      </c>
      <c r="AI34" s="75" t="s">
        <v>428</v>
      </c>
      <c r="AQ34" s="111">
        <v>1</v>
      </c>
    </row>
    <row r="35" spans="1:43" ht="14.65" customHeight="1">
      <c r="Q35" s="333"/>
      <c r="R35" s="333"/>
      <c r="S35" s="334"/>
      <c r="T35" s="38"/>
      <c r="U35" s="339"/>
      <c r="V35" s="1123"/>
      <c r="W35" s="1123"/>
      <c r="X35" s="1123"/>
      <c r="Y35" s="1123"/>
      <c r="Z35" s="1123"/>
      <c r="AA35" s="1123"/>
      <c r="AB35" s="1123"/>
      <c r="AC35" s="1123"/>
      <c r="AD35" s="1123"/>
      <c r="AE35" s="1123"/>
      <c r="AF35" s="1123"/>
      <c r="AG35" s="1123"/>
      <c r="AH35" s="1123"/>
      <c r="AI35" s="1123"/>
      <c r="AQ35" s="17">
        <v>14</v>
      </c>
    </row>
    <row r="36" spans="1:43"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t="s">
        <v>302</v>
      </c>
      <c r="AQ36" s="17">
        <v>14</v>
      </c>
    </row>
    <row r="37" spans="1:43" ht="14.65" customHeight="1">
      <c r="Q37" s="333"/>
      <c r="R37" s="333"/>
      <c r="S37" s="1124" t="s">
        <v>88</v>
      </c>
      <c r="T37" s="1073" t="s">
        <v>429</v>
      </c>
      <c r="U37" s="341"/>
      <c r="V37" s="1125" t="s">
        <v>430</v>
      </c>
      <c r="W37" s="1126"/>
      <c r="X37" s="1126"/>
      <c r="Y37" s="1126"/>
      <c r="Z37" s="1126"/>
      <c r="AA37" s="1127"/>
      <c r="AB37" s="1128" t="s">
        <v>431</v>
      </c>
      <c r="AC37" s="1125" t="s">
        <v>430</v>
      </c>
      <c r="AD37" s="1126"/>
      <c r="AE37" s="1126"/>
      <c r="AF37" s="1126"/>
      <c r="AG37" s="1126"/>
      <c r="AH37" s="1127"/>
      <c r="AI37" s="1128" t="s">
        <v>432</v>
      </c>
      <c r="AJ37" s="1131" t="s">
        <v>433</v>
      </c>
      <c r="AK37" s="995"/>
      <c r="AQ37" s="17">
        <v>14</v>
      </c>
    </row>
    <row r="38" spans="1:43" ht="35.65" customHeight="1">
      <c r="Q38" s="333"/>
      <c r="R38" s="333"/>
      <c r="S38" s="1124"/>
      <c r="T38" s="1073"/>
      <c r="U38" s="343"/>
      <c r="V38" s="161" t="s">
        <v>490</v>
      </c>
      <c r="W38" s="977" t="s">
        <v>436</v>
      </c>
      <c r="X38" s="976"/>
      <c r="Y38" s="977" t="s">
        <v>437</v>
      </c>
      <c r="Z38" s="982"/>
      <c r="AA38" s="976"/>
      <c r="AB38" s="1129"/>
      <c r="AC38" s="161" t="s">
        <v>490</v>
      </c>
      <c r="AD38" s="977" t="s">
        <v>436</v>
      </c>
      <c r="AE38" s="976"/>
      <c r="AF38" s="977" t="s">
        <v>437</v>
      </c>
      <c r="AG38" s="982"/>
      <c r="AH38" s="976"/>
      <c r="AI38" s="1129"/>
      <c r="AJ38" s="1132"/>
      <c r="AK38" s="995"/>
      <c r="AQ38" s="17">
        <v>34</v>
      </c>
    </row>
    <row r="39" spans="1:43" ht="35.65" customHeight="1">
      <c r="B39" s="126" t="s">
        <v>138</v>
      </c>
      <c r="C39" s="126" t="s">
        <v>139</v>
      </c>
      <c r="D39" s="126" t="s">
        <v>140</v>
      </c>
      <c r="E39" s="306" t="s">
        <v>438</v>
      </c>
      <c r="F39" s="306" t="s">
        <v>439</v>
      </c>
      <c r="G39" s="306" t="s">
        <v>440</v>
      </c>
      <c r="I39" s="306" t="s">
        <v>491</v>
      </c>
      <c r="J39" s="306" t="s">
        <v>443</v>
      </c>
      <c r="K39" s="306" t="s">
        <v>492</v>
      </c>
      <c r="L39" s="306" t="s">
        <v>419</v>
      </c>
      <c r="Q39" s="333"/>
      <c r="R39" s="333"/>
      <c r="S39" s="1124"/>
      <c r="T39" s="1073"/>
      <c r="U39" s="344"/>
      <c r="V39" s="161" t="s">
        <v>493</v>
      </c>
      <c r="W39" s="134" t="s">
        <v>494</v>
      </c>
      <c r="X39" s="134" t="s">
        <v>495</v>
      </c>
      <c r="Y39" s="134" t="s">
        <v>447</v>
      </c>
      <c r="Z39" s="1078" t="s">
        <v>448</v>
      </c>
      <c r="AA39" s="1092"/>
      <c r="AB39" s="1130"/>
      <c r="AC39" s="161" t="s">
        <v>493</v>
      </c>
      <c r="AD39" s="134" t="s">
        <v>494</v>
      </c>
      <c r="AE39" s="134" t="s">
        <v>495</v>
      </c>
      <c r="AF39" s="134" t="s">
        <v>447</v>
      </c>
      <c r="AG39" s="1078" t="s">
        <v>448</v>
      </c>
      <c r="AH39" s="1092"/>
      <c r="AI39" s="1130"/>
      <c r="AJ39" s="1133"/>
      <c r="AK39" s="995"/>
      <c r="AQ39" s="17">
        <v>34</v>
      </c>
    </row>
    <row r="40" spans="1:43" ht="11.25" hidden="1" customHeight="1">
      <c r="Q40" s="347"/>
      <c r="R40" s="348">
        <v>1</v>
      </c>
      <c r="S40" s="349" t="s">
        <v>110</v>
      </c>
      <c r="T40" s="350" t="s">
        <v>111</v>
      </c>
      <c r="U40" s="351" t="str">
        <f ca="1">OFFSET(U40,0,-1)</f>
        <v>2</v>
      </c>
      <c r="V40" s="352">
        <f ca="1">OFFSET(V40,0,-1)+1</f>
        <v>3</v>
      </c>
      <c r="W40" s="352">
        <f ca="1">OFFSET(W40,0,-1)+1</f>
        <v>4</v>
      </c>
      <c r="X40" s="352">
        <f ca="1">OFFSET(X40,0,-1)+1</f>
        <v>5</v>
      </c>
      <c r="Y40" s="352">
        <f ca="1">OFFSET(Y40,0,-1)+1</f>
        <v>6</v>
      </c>
      <c r="Z40" s="1122">
        <f ca="1">OFFSET(Z40,0,-1)+1</f>
        <v>7</v>
      </c>
      <c r="AA40" s="1122"/>
      <c r="AB40" s="352">
        <f ca="1">OFFSET(AB40,0,-2)+1</f>
        <v>8</v>
      </c>
      <c r="AC40" s="352">
        <f ca="1">OFFSET(AC40,0,-1)+1</f>
        <v>9</v>
      </c>
      <c r="AD40" s="352">
        <f ca="1">OFFSET(AD40,0,-1)+1</f>
        <v>10</v>
      </c>
      <c r="AE40" s="352">
        <f ca="1">OFFSET(AE40,0,-1)+1</f>
        <v>11</v>
      </c>
      <c r="AF40" s="352">
        <f ca="1">OFFSET(AF40,0,-1)+1</f>
        <v>12</v>
      </c>
      <c r="AG40" s="1122">
        <f ca="1">OFFSET(AG40,0,-1)+1</f>
        <v>13</v>
      </c>
      <c r="AH40" s="1122"/>
      <c r="AI40" s="352">
        <f ca="1">OFFSET(AI40,0,-2)+1</f>
        <v>14</v>
      </c>
      <c r="AJ40" s="351">
        <f ca="1">OFFSET(AJ40,0,-1)</f>
        <v>14</v>
      </c>
      <c r="AK40" s="352">
        <f ca="1">OFFSET(AK40,0,-1)+1</f>
        <v>15</v>
      </c>
      <c r="AQ40" s="258">
        <v>0</v>
      </c>
    </row>
    <row r="41" spans="1:43" ht="24" customHeight="1">
      <c r="A41" s="353" t="s">
        <v>227</v>
      </c>
      <c r="E41" s="1111">
        <v>1</v>
      </c>
      <c r="R41" s="294"/>
      <c r="S41" s="295">
        <f>INDEX(PT_DIFFERENTIATION_NUM_NTAR,MATCH(A41,PT_DIFFERENTIATION_NTAR_ID,0))</f>
        <v>0</v>
      </c>
      <c r="T41" s="296" t="s">
        <v>126</v>
      </c>
      <c r="U41" s="297"/>
      <c r="V41" s="1106"/>
      <c r="W41" s="1107"/>
      <c r="X41" s="1107"/>
      <c r="Y41" s="1107"/>
      <c r="Z41" s="1107"/>
      <c r="AA41" s="1107"/>
      <c r="AB41" s="1108"/>
      <c r="AC41" s="1106" t="str">
        <f>INDEX(PT_DIFFERENTIATION_NTAR,MATCH(A41,PT_DIFFERENTIATION_NTAR_ID,0))</f>
        <v/>
      </c>
      <c r="AD41" s="1107"/>
      <c r="AE41" s="1107"/>
      <c r="AF41" s="1107"/>
      <c r="AG41" s="1107"/>
      <c r="AH41" s="1107"/>
      <c r="AI41" s="1107"/>
      <c r="AJ41" s="1108"/>
      <c r="AK41"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7" t="str">
        <f t="shared" ref="AN41:AN53" si="1">IF(T41="","",T41)</f>
        <v>Наименование тарифа</v>
      </c>
      <c r="AQ41" s="17">
        <v>23</v>
      </c>
    </row>
    <row r="42" spans="1:43" ht="24" customHeight="1">
      <c r="A42" s="353" t="s">
        <v>227</v>
      </c>
      <c r="B42" s="353" t="s">
        <v>228</v>
      </c>
      <c r="E42" s="1112"/>
      <c r="F42" s="1111">
        <v>1</v>
      </c>
      <c r="Q42" s="300"/>
      <c r="R42" s="301"/>
      <c r="S42" s="295" t="str">
        <f>INDEX(PT_DIFFERENTIATION_NUM_TER,MATCH(B42,PT_DIFFERENTIATION_TER_ID,0))</f>
        <v>.</v>
      </c>
      <c r="T42" s="302" t="s">
        <v>398</v>
      </c>
      <c r="U42" s="297"/>
      <c r="V42" s="1106"/>
      <c r="W42" s="1107"/>
      <c r="X42" s="1107"/>
      <c r="Y42" s="1107"/>
      <c r="Z42" s="1107"/>
      <c r="AA42" s="1107"/>
      <c r="AB42" s="1108"/>
      <c r="AC42" s="1106" t="str">
        <f>INDEX(PT_DIFFERENTIATION_TER,MATCH(B42,PT_DIFFERENTIATION_TER_ID,0))</f>
        <v/>
      </c>
      <c r="AD42" s="1107"/>
      <c r="AE42" s="1107"/>
      <c r="AF42" s="1107"/>
      <c r="AG42" s="1107"/>
      <c r="AH42" s="1107"/>
      <c r="AI42" s="1107"/>
      <c r="AJ42" s="1108"/>
      <c r="AK42" s="299" t="s">
        <v>399</v>
      </c>
      <c r="AN42" s="87" t="str">
        <f t="shared" si="1"/>
        <v>Территория действия тарифа</v>
      </c>
      <c r="AQ42" s="17">
        <v>23</v>
      </c>
    </row>
    <row r="43" spans="1:43" ht="24" customHeight="1">
      <c r="A43" s="353" t="s">
        <v>227</v>
      </c>
      <c r="B43" s="353" t="s">
        <v>228</v>
      </c>
      <c r="C43" s="353" t="s">
        <v>229</v>
      </c>
      <c r="E43" s="1112"/>
      <c r="F43" s="1112"/>
      <c r="G43" s="1111">
        <v>1</v>
      </c>
      <c r="Q43" s="300"/>
      <c r="R43" s="301"/>
      <c r="S43" s="295" t="str">
        <f>INDEX(PT_DIFFERENTIATION_NUM_CS,MATCH(C43,PT_DIFFERENTIATION_CS_ID,0))</f>
        <v>..</v>
      </c>
      <c r="T43" s="303" t="s">
        <v>482</v>
      </c>
      <c r="U43" s="297"/>
      <c r="V43" s="1106"/>
      <c r="W43" s="1107"/>
      <c r="X43" s="1107"/>
      <c r="Y43" s="1107"/>
      <c r="Z43" s="1107"/>
      <c r="AA43" s="1107"/>
      <c r="AB43" s="1108"/>
      <c r="AC43" s="1106" t="str">
        <f>INDEX(PT_DIFFERENTIATION_CS,MATCH(C43,PT_DIFFERENTIATION_CS_ID,0))</f>
        <v/>
      </c>
      <c r="AD43" s="1107"/>
      <c r="AE43" s="1107"/>
      <c r="AF43" s="1107"/>
      <c r="AG43" s="1107"/>
      <c r="AH43" s="1107"/>
      <c r="AI43" s="1107"/>
      <c r="AJ43" s="1108"/>
      <c r="AK43" s="299" t="s">
        <v>483</v>
      </c>
      <c r="AN43" s="87" t="str">
        <f t="shared" si="1"/>
        <v>Наименование централизованной системы холодного водоснабжения</v>
      </c>
      <c r="AQ43" s="17">
        <v>23</v>
      </c>
    </row>
    <row r="44" spans="1:43" ht="24" customHeight="1">
      <c r="A44" s="353" t="s">
        <v>227</v>
      </c>
      <c r="B44" s="353" t="s">
        <v>228</v>
      </c>
      <c r="C44" s="353" t="s">
        <v>229</v>
      </c>
      <c r="D44" s="353" t="s">
        <v>496</v>
      </c>
      <c r="E44" s="1112"/>
      <c r="F44" s="1112"/>
      <c r="G44" s="1112"/>
      <c r="H44" s="1112"/>
      <c r="I44" s="1113" t="str">
        <f>S43&amp;".1"</f>
        <v>...1</v>
      </c>
      <c r="P44" s="1115">
        <v>1</v>
      </c>
      <c r="R44" s="307"/>
      <c r="S44" s="295" t="str">
        <f>$I44</f>
        <v>...1</v>
      </c>
      <c r="T44" s="308" t="s">
        <v>484</v>
      </c>
      <c r="U44" s="297"/>
      <c r="V44" s="1179"/>
      <c r="W44" s="1180"/>
      <c r="X44" s="1180"/>
      <c r="Y44" s="1180"/>
      <c r="Z44" s="1180"/>
      <c r="AA44" s="1180"/>
      <c r="AB44" s="1181"/>
      <c r="AC44" s="1182"/>
      <c r="AD44" s="1183"/>
      <c r="AE44" s="1183"/>
      <c r="AF44" s="1183"/>
      <c r="AG44" s="1183"/>
      <c r="AH44" s="1183"/>
      <c r="AI44" s="1183"/>
      <c r="AJ44" s="1184"/>
      <c r="AK44" s="299" t="s">
        <v>485</v>
      </c>
      <c r="AN44" s="87" t="str">
        <f t="shared" si="1"/>
        <v>Наименование признака дифференциации</v>
      </c>
      <c r="AQ44" s="17">
        <v>23</v>
      </c>
    </row>
    <row r="45" spans="1:43" ht="24" customHeight="1">
      <c r="A45" s="353" t="s">
        <v>227</v>
      </c>
      <c r="B45" s="353" t="s">
        <v>228</v>
      </c>
      <c r="C45" s="353" t="s">
        <v>229</v>
      </c>
      <c r="D45" s="353" t="s">
        <v>496</v>
      </c>
      <c r="E45" s="1112"/>
      <c r="F45" s="1112"/>
      <c r="G45" s="1112"/>
      <c r="H45" s="1112"/>
      <c r="I45" s="1114"/>
      <c r="J45" s="1113" t="str">
        <f>I44&amp;".1"</f>
        <v>...1.1</v>
      </c>
      <c r="L45" s="306" t="s">
        <v>407</v>
      </c>
      <c r="P45" s="964"/>
      <c r="Q45" s="1115">
        <v>1</v>
      </c>
      <c r="R45" s="309"/>
      <c r="S45" s="295" t="str">
        <f>$J45</f>
        <v>...1.1</v>
      </c>
      <c r="T45" s="310" t="s">
        <v>408</v>
      </c>
      <c r="U45" s="297"/>
      <c r="V45" s="1100"/>
      <c r="W45" s="1101"/>
      <c r="X45" s="1101"/>
      <c r="Y45" s="1101"/>
      <c r="Z45" s="1101"/>
      <c r="AA45" s="1101"/>
      <c r="AB45" s="1102"/>
      <c r="AC45" s="1100"/>
      <c r="AD45" s="1101"/>
      <c r="AE45" s="1101"/>
      <c r="AF45" s="1101"/>
      <c r="AG45" s="1101"/>
      <c r="AH45" s="1101"/>
      <c r="AI45" s="1101"/>
      <c r="AJ45" s="1102"/>
      <c r="AK45" s="386" t="s">
        <v>486</v>
      </c>
      <c r="AN45" s="87" t="str">
        <f t="shared" si="1"/>
        <v>Группа потребителей</v>
      </c>
      <c r="AQ45" s="17">
        <v>23</v>
      </c>
    </row>
    <row r="46" spans="1:43" ht="24" customHeight="1">
      <c r="A46" s="353" t="s">
        <v>227</v>
      </c>
      <c r="B46" s="353" t="s">
        <v>228</v>
      </c>
      <c r="C46" s="353" t="s">
        <v>229</v>
      </c>
      <c r="D46" s="353" t="s">
        <v>496</v>
      </c>
      <c r="E46" s="1112"/>
      <c r="F46" s="1112"/>
      <c r="G46" s="1112"/>
      <c r="H46" s="1112"/>
      <c r="I46" s="1114"/>
      <c r="J46" s="1114"/>
      <c r="K46" s="1113" t="str">
        <f>J45&amp;".1"</f>
        <v>...1.1.1</v>
      </c>
      <c r="P46" s="964"/>
      <c r="Q46" s="964"/>
      <c r="R46" s="309">
        <v>1</v>
      </c>
      <c r="S46" s="295" t="str">
        <f>$K46</f>
        <v>...1.1.1</v>
      </c>
      <c r="T46" s="426"/>
      <c r="U46" s="297"/>
      <c r="V46" s="330"/>
      <c r="W46" s="330"/>
      <c r="X46" s="331"/>
      <c r="Y46" s="1110"/>
      <c r="Z46" s="1109" t="s">
        <v>66</v>
      </c>
      <c r="AA46" s="1110"/>
      <c r="AB46" s="1109" t="s">
        <v>66</v>
      </c>
      <c r="AC46" s="312"/>
      <c r="AD46" s="312"/>
      <c r="AE46" s="314"/>
      <c r="AF46" s="1116"/>
      <c r="AG46" s="1004" t="s">
        <v>66</v>
      </c>
      <c r="AH46" s="1118"/>
      <c r="AI46" s="1004" t="s">
        <v>19</v>
      </c>
      <c r="AJ46" s="427"/>
      <c r="AK46"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 t="e">
        <f ca="1">STRCHECKDATE(V47:AJ47)</f>
        <v>#NAME?</v>
      </c>
      <c r="AN46" s="87" t="str">
        <f t="shared" si="1"/>
        <v/>
      </c>
      <c r="AQ46" s="17">
        <v>23</v>
      </c>
    </row>
    <row r="47" spans="1:43" ht="0" hidden="1" customHeight="1">
      <c r="A47" s="353" t="s">
        <v>227</v>
      </c>
      <c r="B47" s="353" t="s">
        <v>228</v>
      </c>
      <c r="C47" s="353" t="s">
        <v>229</v>
      </c>
      <c r="D47" s="353" t="s">
        <v>496</v>
      </c>
      <c r="E47" s="1112"/>
      <c r="F47" s="1112"/>
      <c r="G47" s="1112"/>
      <c r="H47" s="1112"/>
      <c r="I47" s="1114"/>
      <c r="J47" s="1114"/>
      <c r="K47" s="1113"/>
      <c r="P47" s="964"/>
      <c r="Q47" s="964"/>
      <c r="R47" s="309"/>
      <c r="S47" s="278"/>
      <c r="T47" s="297"/>
      <c r="U47" s="297"/>
      <c r="V47" s="330"/>
      <c r="W47" s="330"/>
      <c r="X47" s="316" t="str">
        <f>Y46&amp;"-"&amp;AA46</f>
        <v>-</v>
      </c>
      <c r="Y47" s="1109"/>
      <c r="Z47" s="1109"/>
      <c r="AA47" s="1109"/>
      <c r="AB47" s="1109"/>
      <c r="AC47" s="313"/>
      <c r="AD47" s="313"/>
      <c r="AE47" s="316" t="str">
        <f>AF46&amp;"-"&amp;AH46</f>
        <v>-</v>
      </c>
      <c r="AF47" s="1117"/>
      <c r="AG47" s="1004"/>
      <c r="AH47" s="1119"/>
      <c r="AI47" s="1004"/>
      <c r="AJ47" s="428"/>
      <c r="AK47" s="1185"/>
      <c r="AN47" s="87" t="str">
        <f t="shared" si="1"/>
        <v/>
      </c>
      <c r="AQ47" s="17">
        <v>0</v>
      </c>
    </row>
    <row r="48" spans="1:43" ht="21" customHeight="1">
      <c r="A48" s="353" t="s">
        <v>227</v>
      </c>
      <c r="B48" s="353" t="s">
        <v>228</v>
      </c>
      <c r="C48" s="353" t="s">
        <v>229</v>
      </c>
      <c r="D48" s="353" t="s">
        <v>496</v>
      </c>
      <c r="E48" s="1112"/>
      <c r="F48" s="1112"/>
      <c r="G48" s="1112"/>
      <c r="H48" s="1112"/>
      <c r="I48" s="1114"/>
      <c r="J48" s="1113"/>
      <c r="P48" s="964"/>
      <c r="Q48" s="964"/>
      <c r="R48" s="307"/>
      <c r="S48" s="318"/>
      <c r="T48" s="321" t="s">
        <v>487</v>
      </c>
      <c r="U48" s="117"/>
      <c r="V48" s="117"/>
      <c r="W48" s="117"/>
      <c r="X48" s="117"/>
      <c r="Y48" s="117"/>
      <c r="Z48" s="117"/>
      <c r="AA48" s="117"/>
      <c r="AB48" s="117"/>
      <c r="AC48" s="117"/>
      <c r="AD48" s="117"/>
      <c r="AE48" s="117"/>
      <c r="AF48" s="117"/>
      <c r="AG48" s="117"/>
      <c r="AH48" s="117"/>
      <c r="AI48" s="117"/>
      <c r="AJ48" s="117"/>
      <c r="AK48" s="299" t="s">
        <v>488</v>
      </c>
      <c r="AN48" s="87" t="str">
        <f t="shared" si="1"/>
        <v>Добавить значение признака дифференциации</v>
      </c>
      <c r="AQ48" s="17">
        <v>20</v>
      </c>
    </row>
    <row r="49" spans="1:43" ht="21.95" customHeight="1">
      <c r="A49" s="353" t="s">
        <v>227</v>
      </c>
      <c r="B49" s="353" t="s">
        <v>228</v>
      </c>
      <c r="C49" s="353" t="s">
        <v>229</v>
      </c>
      <c r="D49" s="353" t="s">
        <v>496</v>
      </c>
      <c r="E49" s="1112"/>
      <c r="F49" s="1112"/>
      <c r="G49" s="1112"/>
      <c r="H49" s="1112"/>
      <c r="I49" s="1113"/>
      <c r="P49" s="964"/>
      <c r="R49" s="307"/>
      <c r="S49" s="318"/>
      <c r="T49" s="324" t="s">
        <v>413</v>
      </c>
      <c r="U49" s="117"/>
      <c r="V49" s="117"/>
      <c r="W49" s="117"/>
      <c r="X49" s="117"/>
      <c r="Y49" s="117"/>
      <c r="Z49" s="117"/>
      <c r="AA49" s="117"/>
      <c r="AB49" s="322"/>
      <c r="AC49" s="117"/>
      <c r="AD49" s="117"/>
      <c r="AE49" s="117"/>
      <c r="AF49" s="117"/>
      <c r="AG49" s="117"/>
      <c r="AH49" s="117"/>
      <c r="AI49" s="322"/>
      <c r="AJ49" s="117"/>
      <c r="AK49" s="429"/>
      <c r="AN49" s="87" t="str">
        <f t="shared" si="1"/>
        <v>Добавить группу потребителей</v>
      </c>
      <c r="AQ49" s="17">
        <v>21</v>
      </c>
    </row>
    <row r="50" spans="1:43" ht="21.95" customHeight="1">
      <c r="A50" s="353" t="s">
        <v>227</v>
      </c>
      <c r="B50" s="353" t="s">
        <v>228</v>
      </c>
      <c r="C50" s="353" t="s">
        <v>229</v>
      </c>
      <c r="D50" s="353" t="s">
        <v>496</v>
      </c>
      <c r="E50" s="1112"/>
      <c r="F50" s="1112"/>
      <c r="G50" s="1112"/>
      <c r="H50" s="1111"/>
      <c r="R50" s="294"/>
      <c r="S50" s="318"/>
      <c r="T50" s="430" t="s">
        <v>489</v>
      </c>
      <c r="U50" s="117"/>
      <c r="V50" s="117"/>
      <c r="W50" s="117"/>
      <c r="X50" s="117"/>
      <c r="Y50" s="117"/>
      <c r="Z50" s="117"/>
      <c r="AA50" s="117"/>
      <c r="AB50" s="322"/>
      <c r="AC50" s="117"/>
      <c r="AD50" s="117"/>
      <c r="AE50" s="117"/>
      <c r="AF50" s="117"/>
      <c r="AG50" s="117"/>
      <c r="AH50" s="117"/>
      <c r="AI50" s="322"/>
      <c r="AJ50" s="117"/>
      <c r="AK50" s="323"/>
      <c r="AN50" s="87" t="str">
        <f t="shared" si="1"/>
        <v>Добавить наименование признака дифференциации</v>
      </c>
      <c r="AQ50" s="17">
        <v>21</v>
      </c>
    </row>
    <row r="51" spans="1:43" ht="0" hidden="1" customHeight="1">
      <c r="A51" s="72" t="s">
        <v>227</v>
      </c>
      <c r="B51" s="72" t="s">
        <v>228</v>
      </c>
      <c r="E51" s="1112"/>
      <c r="F51" s="1111"/>
      <c r="T51" s="329" t="s">
        <v>416</v>
      </c>
      <c r="AN51" s="87" t="str">
        <f t="shared" si="1"/>
        <v>Добавить централизованную систему для дифференциации</v>
      </c>
      <c r="AQ51" s="75">
        <v>0</v>
      </c>
    </row>
    <row r="52" spans="1:43" ht="0" hidden="1" customHeight="1">
      <c r="A52" s="72" t="s">
        <v>227</v>
      </c>
      <c r="E52" s="1111"/>
      <c r="T52" s="329" t="s">
        <v>417</v>
      </c>
      <c r="AN52" s="87" t="str">
        <f t="shared" si="1"/>
        <v>Добавить территорию для дифференциации</v>
      </c>
      <c r="AQ52" s="75">
        <v>0</v>
      </c>
    </row>
    <row r="53" spans="1:43" ht="0" hidden="1" customHeight="1">
      <c r="T53" s="329" t="s">
        <v>449</v>
      </c>
      <c r="AN53" s="87" t="str">
        <f t="shared" si="1"/>
        <v>Добавить наименование тарифа</v>
      </c>
      <c r="AQ53" s="75">
        <v>0</v>
      </c>
    </row>
    <row r="54" spans="1:43" ht="11.45" customHeight="1">
      <c r="AQ54" s="17">
        <v>11</v>
      </c>
    </row>
    <row r="55" spans="1:43" ht="14.65" customHeight="1">
      <c r="T55" s="964"/>
      <c r="U55" s="964"/>
      <c r="V55" s="964"/>
      <c r="W55" s="964"/>
      <c r="X55" s="964"/>
      <c r="Y55" s="964"/>
      <c r="Z55" s="964"/>
      <c r="AA55" s="964"/>
      <c r="AB55" s="964"/>
      <c r="AC55" s="964"/>
      <c r="AD55" s="964"/>
      <c r="AE55" s="964"/>
      <c r="AF55" s="964"/>
      <c r="AG55" s="964"/>
      <c r="AH55" s="964"/>
      <c r="AI55" s="964"/>
      <c r="AJ55" s="964"/>
      <c r="AK55" s="964"/>
      <c r="AQ55" s="17">
        <v>14</v>
      </c>
    </row>
    <row r="56" spans="1:43" ht="14.65" customHeight="1">
      <c r="AQ56" s="17">
        <v>14</v>
      </c>
    </row>
    <row r="57" spans="1:43" ht="14.65" customHeight="1">
      <c r="T57" s="964"/>
      <c r="U57" s="964"/>
      <c r="V57" s="964"/>
      <c r="W57" s="964"/>
      <c r="X57" s="964"/>
      <c r="Y57" s="964"/>
      <c r="Z57" s="964"/>
      <c r="AA57" s="964"/>
      <c r="AB57" s="964"/>
      <c r="AC57" s="964"/>
      <c r="AD57" s="964"/>
      <c r="AE57" s="964"/>
      <c r="AF57" s="964"/>
      <c r="AG57" s="964"/>
      <c r="AH57" s="964"/>
      <c r="AI57" s="964"/>
      <c r="AJ57" s="964"/>
      <c r="AK57" s="964"/>
      <c r="AQ57" s="17">
        <v>14</v>
      </c>
    </row>
    <row r="58" spans="1:43" ht="22.5" hidden="1" customHeight="1">
      <c r="A58" s="37" t="s">
        <v>82</v>
      </c>
      <c r="B58" s="37">
        <v>0</v>
      </c>
      <c r="C58" s="37">
        <v>0</v>
      </c>
      <c r="D58" s="37">
        <v>0</v>
      </c>
      <c r="E58" s="37">
        <v>0</v>
      </c>
      <c r="F58" s="37">
        <v>0</v>
      </c>
      <c r="G58" s="37">
        <v>0</v>
      </c>
      <c r="H58" s="37">
        <v>0</v>
      </c>
      <c r="I58" s="37">
        <v>0</v>
      </c>
      <c r="J58" s="37">
        <v>0</v>
      </c>
      <c r="K58" s="37">
        <v>0</v>
      </c>
      <c r="L58" s="240">
        <v>0</v>
      </c>
      <c r="M58" s="41">
        <v>0</v>
      </c>
      <c r="N58" s="41">
        <v>0</v>
      </c>
      <c r="O58" s="41">
        <v>0</v>
      </c>
      <c r="P58" s="356">
        <v>3</v>
      </c>
      <c r="Q58" s="357">
        <v>3</v>
      </c>
      <c r="R58" s="357">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5">
        <v>10</v>
      </c>
      <c r="AM58" s="75">
        <v>10</v>
      </c>
      <c r="AN58" s="75">
        <v>10</v>
      </c>
      <c r="AO58" s="75">
        <v>10</v>
      </c>
      <c r="AP58" s="75">
        <v>10</v>
      </c>
      <c r="AQ58" s="17">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DEF6-684F-9AD9-2F81-45532F941D6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c r="AQ1" s="17" t="s">
        <v>14</v>
      </c>
    </row>
    <row r="2" spans="5:43" ht="23.25" hidden="1" customHeight="1">
      <c r="E2" s="1111">
        <v>1</v>
      </c>
      <c r="R2" s="294"/>
      <c r="S2" s="295" t="e">
        <f>INDEX(PT_DIFFERENTIATION_NUM_NTAR,MATCH(A2,PT_DIFFERENTIATION_NTAR_ID,0))</f>
        <v>#N/A</v>
      </c>
      <c r="T2" s="296" t="s">
        <v>126</v>
      </c>
      <c r="U2" s="297"/>
      <c r="V2" s="1106"/>
      <c r="W2" s="1107"/>
      <c r="X2" s="1107"/>
      <c r="Y2" s="1107"/>
      <c r="Z2" s="1107"/>
      <c r="AA2" s="1107"/>
      <c r="AB2" s="1108"/>
      <c r="AC2" s="1106" t="e">
        <f>INDEX(PT_DIFFERENTIATION_NTAR,MATCH(A2,PT_DIFFERENTIATION_NTAR_ID,0))</f>
        <v>#N/A</v>
      </c>
      <c r="AD2" s="1107"/>
      <c r="AE2" s="1107"/>
      <c r="AF2" s="1107"/>
      <c r="AG2" s="1107"/>
      <c r="AH2" s="1107"/>
      <c r="AI2" s="1107"/>
      <c r="AJ2" s="1108"/>
      <c r="AK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7" t="str">
        <f t="shared" ref="AN2:AN13" si="0">IF(T2="","",T2)</f>
        <v>Наименование тарифа</v>
      </c>
      <c r="AQ2" s="17">
        <v>0</v>
      </c>
    </row>
    <row r="3" spans="5:43"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8"/>
      <c r="AC3" s="1106" t="e">
        <f>INDEX(PT_DIFFERENTIATION_TER,MATCH(B3,PT_DIFFERENTIATION_TER_ID,0))</f>
        <v>#N/A</v>
      </c>
      <c r="AD3" s="1107"/>
      <c r="AE3" s="1107"/>
      <c r="AF3" s="1107"/>
      <c r="AG3" s="1107"/>
      <c r="AH3" s="1107"/>
      <c r="AI3" s="1107"/>
      <c r="AJ3" s="1108"/>
      <c r="AK3" s="299" t="s">
        <v>399</v>
      </c>
      <c r="AN3" s="87" t="str">
        <f t="shared" si="0"/>
        <v>Территория действия тарифа</v>
      </c>
      <c r="AQ3" s="17">
        <v>0</v>
      </c>
    </row>
    <row r="4" spans="5:43" ht="23.25" hidden="1" customHeight="1">
      <c r="E4" s="1112"/>
      <c r="F4" s="1112"/>
      <c r="G4" s="1111">
        <v>1</v>
      </c>
      <c r="Q4" s="300"/>
      <c r="R4" s="301"/>
      <c r="S4" s="295" t="e">
        <f>INDEX(PT_DIFFERENTIATION_NUM_CS,MATCH(C4,PT_DIFFERENTIATION_CS_ID,0))</f>
        <v>#N/A</v>
      </c>
      <c r="T4" s="303" t="s">
        <v>482</v>
      </c>
      <c r="U4" s="297"/>
      <c r="V4" s="1106"/>
      <c r="W4" s="1107"/>
      <c r="X4" s="1107"/>
      <c r="Y4" s="1107"/>
      <c r="Z4" s="1107"/>
      <c r="AA4" s="1107"/>
      <c r="AB4" s="1108"/>
      <c r="AC4" s="1106" t="e">
        <f>INDEX(PT_DIFFERENTIATION_CS,MATCH(C4,PT_DIFFERENTIATION_CS_ID,0))</f>
        <v>#N/A</v>
      </c>
      <c r="AD4" s="1107"/>
      <c r="AE4" s="1107"/>
      <c r="AF4" s="1107"/>
      <c r="AG4" s="1107"/>
      <c r="AH4" s="1107"/>
      <c r="AI4" s="1107"/>
      <c r="AJ4" s="1108"/>
      <c r="AK4" s="299" t="s">
        <v>483</v>
      </c>
      <c r="AN4" s="87" t="str">
        <f t="shared" si="0"/>
        <v>Наименование централизованной системы холодного водоснабжения</v>
      </c>
      <c r="AQ4" s="17">
        <v>0</v>
      </c>
    </row>
    <row r="5" spans="5:43"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1"/>
      <c r="AC5" s="1182"/>
      <c r="AD5" s="1183"/>
      <c r="AE5" s="1183"/>
      <c r="AF5" s="1183"/>
      <c r="AG5" s="1183"/>
      <c r="AH5" s="1183"/>
      <c r="AI5" s="1183"/>
      <c r="AJ5" s="1184"/>
      <c r="AK5" s="299" t="s">
        <v>485</v>
      </c>
      <c r="AN5" s="87" t="str">
        <f t="shared" si="0"/>
        <v>Наименование признака дифференциации</v>
      </c>
      <c r="AQ5" s="17">
        <v>0</v>
      </c>
    </row>
    <row r="6" spans="5:43"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2"/>
      <c r="AC6" s="1100"/>
      <c r="AD6" s="1101"/>
      <c r="AE6" s="1101"/>
      <c r="AF6" s="1101"/>
      <c r="AG6" s="1101"/>
      <c r="AH6" s="1101"/>
      <c r="AI6" s="1101"/>
      <c r="AJ6" s="1102"/>
      <c r="AK6" s="386" t="s">
        <v>486</v>
      </c>
      <c r="AN6" s="87" t="str">
        <f t="shared" si="0"/>
        <v>Группа потребителей</v>
      </c>
      <c r="AQ6" s="17">
        <v>0</v>
      </c>
    </row>
    <row r="7" spans="5:43" ht="23.25" hidden="1" customHeight="1">
      <c r="E7" s="1112"/>
      <c r="F7" s="1112"/>
      <c r="G7" s="1112"/>
      <c r="H7" s="1112"/>
      <c r="I7" s="1114"/>
      <c r="J7" s="1114"/>
      <c r="K7" s="1113" t="e">
        <f>J6&amp;".1"</f>
        <v>#N/A</v>
      </c>
      <c r="P7" s="964"/>
      <c r="Q7" s="964"/>
      <c r="R7" s="309">
        <v>1</v>
      </c>
      <c r="S7" s="295" t="e">
        <f>$K7</f>
        <v>#N/A</v>
      </c>
      <c r="T7" s="426"/>
      <c r="U7" s="297"/>
      <c r="V7" s="312"/>
      <c r="W7" s="312"/>
      <c r="X7" s="314"/>
      <c r="Y7" s="1116"/>
      <c r="Z7" s="1004" t="s">
        <v>66</v>
      </c>
      <c r="AA7" s="1116"/>
      <c r="AB7" s="1004" t="s">
        <v>66</v>
      </c>
      <c r="AC7" s="312"/>
      <c r="AD7" s="312"/>
      <c r="AE7" s="314"/>
      <c r="AF7" s="1116"/>
      <c r="AG7" s="1004" t="s">
        <v>66</v>
      </c>
      <c r="AH7" s="1118"/>
      <c r="AI7" s="1004" t="s">
        <v>66</v>
      </c>
      <c r="AJ7" s="427"/>
      <c r="AK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 t="e">
        <f ca="1">STRCHECKDATE(V8:AJ8)</f>
        <v>#NAME?</v>
      </c>
      <c r="AN7" s="87" t="str">
        <f t="shared" si="0"/>
        <v/>
      </c>
      <c r="AQ7" s="17">
        <v>0</v>
      </c>
    </row>
    <row r="8" spans="5:43" ht="14.25" hidden="1" customHeight="1">
      <c r="E8" s="1112"/>
      <c r="F8" s="1112"/>
      <c r="G8" s="1112"/>
      <c r="H8" s="1112"/>
      <c r="I8" s="1114"/>
      <c r="J8" s="1114"/>
      <c r="K8" s="1113"/>
      <c r="P8" s="964"/>
      <c r="Q8" s="964"/>
      <c r="R8" s="309"/>
      <c r="S8" s="278"/>
      <c r="T8" s="297"/>
      <c r="U8" s="297"/>
      <c r="V8" s="313"/>
      <c r="W8" s="313"/>
      <c r="X8" s="316" t="str">
        <f>Y7&amp;"-"&amp;AA7</f>
        <v>-</v>
      </c>
      <c r="Y8" s="1117"/>
      <c r="Z8" s="1004"/>
      <c r="AA8" s="1117"/>
      <c r="AB8" s="1004"/>
      <c r="AC8" s="313"/>
      <c r="AD8" s="313"/>
      <c r="AE8" s="316" t="str">
        <f>AF7&amp;"-"&amp;AH7</f>
        <v>-</v>
      </c>
      <c r="AF8" s="1117"/>
      <c r="AG8" s="1004"/>
      <c r="AH8" s="1119"/>
      <c r="AI8" s="1004"/>
      <c r="AJ8" s="428"/>
      <c r="AK8" s="1185"/>
      <c r="AN8" s="87" t="str">
        <f t="shared" si="0"/>
        <v/>
      </c>
      <c r="AQ8" s="17">
        <v>0</v>
      </c>
    </row>
    <row r="9" spans="5:43"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299" t="s">
        <v>488</v>
      </c>
      <c r="AN9" s="87" t="str">
        <f t="shared" si="0"/>
        <v>Добавить значение признака дифференциации</v>
      </c>
      <c r="AQ9" s="17">
        <v>0</v>
      </c>
    </row>
    <row r="10" spans="5:43" ht="21" hidden="1" customHeight="1">
      <c r="E10" s="1112"/>
      <c r="F10" s="1112"/>
      <c r="G10" s="1112"/>
      <c r="H10" s="1112"/>
      <c r="I10" s="1113"/>
      <c r="P10" s="964"/>
      <c r="R10" s="307"/>
      <c r="S10" s="318"/>
      <c r="T10" s="324" t="s">
        <v>413</v>
      </c>
      <c r="U10" s="117"/>
      <c r="V10" s="117"/>
      <c r="W10" s="117"/>
      <c r="X10" s="117"/>
      <c r="Y10" s="117"/>
      <c r="Z10" s="117"/>
      <c r="AA10" s="117"/>
      <c r="AB10" s="322"/>
      <c r="AC10" s="117"/>
      <c r="AD10" s="117"/>
      <c r="AE10" s="117"/>
      <c r="AF10" s="117"/>
      <c r="AG10" s="117"/>
      <c r="AH10" s="117"/>
      <c r="AI10" s="322"/>
      <c r="AJ10" s="117"/>
      <c r="AK10" s="429"/>
      <c r="AN10" s="87" t="str">
        <f t="shared" si="0"/>
        <v>Добавить группу потребителей</v>
      </c>
      <c r="AQ10" s="17">
        <v>0</v>
      </c>
    </row>
    <row r="11" spans="5:43" ht="21" hidden="1" customHeight="1">
      <c r="E11" s="1112"/>
      <c r="F11" s="1112"/>
      <c r="G11" s="1112"/>
      <c r="H11" s="1111"/>
      <c r="R11" s="294"/>
      <c r="S11" s="318"/>
      <c r="T11" s="430" t="s">
        <v>489</v>
      </c>
      <c r="U11" s="117"/>
      <c r="V11" s="117"/>
      <c r="W11" s="117"/>
      <c r="X11" s="117"/>
      <c r="Y11" s="117"/>
      <c r="Z11" s="117"/>
      <c r="AA11" s="117"/>
      <c r="AB11" s="322"/>
      <c r="AC11" s="117"/>
      <c r="AD11" s="117"/>
      <c r="AE11" s="117"/>
      <c r="AF11" s="117"/>
      <c r="AG11" s="117"/>
      <c r="AH11" s="117"/>
      <c r="AI11" s="322"/>
      <c r="AJ11" s="117"/>
      <c r="AK11" s="323"/>
      <c r="AN11" s="87" t="str">
        <f t="shared" si="0"/>
        <v>Добавить наименование признака дифференциации</v>
      </c>
      <c r="AQ11" s="17">
        <v>0</v>
      </c>
    </row>
    <row r="12" spans="5:43" ht="14.25" hidden="1" customHeight="1">
      <c r="E12" s="1112"/>
      <c r="F12" s="1111"/>
      <c r="T12" s="329" t="s">
        <v>416</v>
      </c>
      <c r="AN12" s="87" t="str">
        <f t="shared" si="0"/>
        <v>Добавить централизованную систему для дифференциации</v>
      </c>
      <c r="AQ12" s="75">
        <v>0</v>
      </c>
    </row>
    <row r="13" spans="5:43" ht="14.25" hidden="1" customHeight="1">
      <c r="E13" s="1111"/>
      <c r="T13" s="329" t="s">
        <v>417</v>
      </c>
      <c r="AN13" s="87" t="str">
        <f t="shared" si="0"/>
        <v>Добавить территорию для дифференциации</v>
      </c>
      <c r="AQ13" s="75">
        <v>0</v>
      </c>
    </row>
    <row r="14" spans="5:43" ht="14.25" hidden="1" customHeight="1">
      <c r="AQ14" s="17">
        <v>0</v>
      </c>
    </row>
    <row r="15" spans="5:43" ht="14.25" hidden="1" customHeight="1">
      <c r="AC15" s="330"/>
      <c r="AD15" s="330"/>
      <c r="AE15" s="331"/>
      <c r="AF15" s="1110"/>
      <c r="AG15" s="1109" t="s">
        <v>66</v>
      </c>
      <c r="AH15" s="1110"/>
      <c r="AI15" s="1109" t="s">
        <v>66</v>
      </c>
      <c r="AQ15" s="17">
        <v>0</v>
      </c>
    </row>
    <row r="16" spans="5:43" ht="14.25" hidden="1" customHeight="1">
      <c r="AC16" s="330"/>
      <c r="AD16" s="330"/>
      <c r="AE16" s="316" t="str">
        <f>AF15&amp;"-"&amp;AH15</f>
        <v>-</v>
      </c>
      <c r="AF16" s="1109"/>
      <c r="AG16" s="1109"/>
      <c r="AH16" s="1109"/>
      <c r="AI16" s="1109"/>
      <c r="AQ16" s="17">
        <v>0</v>
      </c>
    </row>
    <row r="17" spans="15:43" ht="14.25" hidden="1" customHeight="1">
      <c r="AQ17" s="17">
        <v>0</v>
      </c>
    </row>
    <row r="18" spans="15:43" ht="22.5" hidden="1" customHeight="1">
      <c r="O18" s="332" t="s">
        <v>418</v>
      </c>
      <c r="Y18" s="332"/>
      <c r="AA18" s="332"/>
      <c r="AF18" s="332"/>
      <c r="AH18" s="332"/>
      <c r="AQ18" s="37">
        <v>0</v>
      </c>
    </row>
    <row r="19" spans="15:43" ht="14.25" hidden="1" customHeight="1">
      <c r="AQ19" s="37">
        <v>0</v>
      </c>
    </row>
    <row r="20" spans="15:43" ht="12" hidden="1" customHeight="1">
      <c r="O20" s="306" t="s">
        <v>419</v>
      </c>
      <c r="T20" s="37" t="s">
        <v>420</v>
      </c>
      <c r="Z20" s="126" t="s">
        <v>421</v>
      </c>
      <c r="AB20" s="126" t="s">
        <v>422</v>
      </c>
      <c r="AC20" s="37" t="s">
        <v>420</v>
      </c>
      <c r="AG20" s="126" t="s">
        <v>423</v>
      </c>
      <c r="AI20" s="126" t="s">
        <v>422</v>
      </c>
      <c r="AQ20" s="37">
        <v>0</v>
      </c>
    </row>
    <row r="21" spans="15:43" ht="14.25" hidden="1" customHeight="1">
      <c r="AQ21" s="17">
        <v>0</v>
      </c>
    </row>
    <row r="22" spans="15:43" ht="14.25" hidden="1" customHeight="1">
      <c r="AQ22" s="17">
        <v>0</v>
      </c>
    </row>
    <row r="23" spans="15:43" ht="14.65" customHeight="1">
      <c r="Q23" s="333"/>
      <c r="R23" s="333"/>
      <c r="S23" s="334"/>
      <c r="T23" s="38"/>
      <c r="U23" s="38"/>
      <c r="AQ23" s="17">
        <v>14</v>
      </c>
    </row>
    <row r="24" spans="15:43" ht="14.65" customHeight="1">
      <c r="Q24" s="333"/>
      <c r="R24" s="333"/>
      <c r="S24" s="10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093"/>
      <c r="U24" s="1093"/>
      <c r="V24" s="1093"/>
      <c r="W24" s="1093"/>
      <c r="X24" s="1093"/>
      <c r="Y24" s="1093"/>
      <c r="Z24" s="1093"/>
      <c r="AA24" s="1093"/>
      <c r="AB24" s="1093"/>
      <c r="AC24" s="1093"/>
      <c r="AD24" s="1093"/>
      <c r="AE24" s="1093"/>
      <c r="AF24" s="1093"/>
      <c r="AG24" s="1093"/>
      <c r="AH24" s="1093"/>
      <c r="AQ24" s="17">
        <v>14</v>
      </c>
    </row>
    <row r="25" spans="15:43"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Q25" s="17">
        <v>14</v>
      </c>
    </row>
    <row r="26" spans="15:43" ht="14.25" hidden="1" customHeight="1">
      <c r="Q26" s="333"/>
      <c r="R26" s="333"/>
      <c r="S26" s="334"/>
      <c r="T26" s="38"/>
      <c r="U26" s="38"/>
      <c r="V26" s="335"/>
      <c r="W26" s="335"/>
      <c r="X26" s="335"/>
      <c r="Y26" s="335"/>
      <c r="Z26" s="335"/>
      <c r="AA26" s="335"/>
      <c r="AB26" s="335"/>
      <c r="AC26" s="335"/>
      <c r="AD26" s="335"/>
      <c r="AE26" s="335"/>
      <c r="AF26" s="335"/>
      <c r="AG26" s="335"/>
      <c r="AH26" s="335"/>
      <c r="AI26" s="335"/>
      <c r="AQ26" s="17">
        <v>0</v>
      </c>
    </row>
    <row r="27" spans="15:43" ht="25.5" hidden="1" customHeight="1">
      <c r="S27" s="1103" t="s">
        <v>42</v>
      </c>
      <c r="T27" s="1103"/>
      <c r="U27" s="337"/>
      <c r="V27" s="1105" t="str">
        <f>IF(TITLE_NAME_OR_PR_CHANGE="",IF(TITLE_NAME_OR_PR="","",TITLE_NAME_OR_PR),TITLE_NAME_OR_PR_CHANGE)</f>
        <v/>
      </c>
      <c r="W27" s="1105"/>
      <c r="X27" s="1105"/>
      <c r="Y27" s="1105"/>
      <c r="Z27" s="1105"/>
      <c r="AA27" s="1105"/>
      <c r="AC27" s="1105" t="str">
        <f>IF(TITLE_NAME_OR_PR_CHANGE="",IF(TITLE_NAME_OR_PR="","",TITLE_NAME_OR_PR),TITLE_NAME_OR_PR_CHANGE)</f>
        <v/>
      </c>
      <c r="AD27" s="1105"/>
      <c r="AE27" s="1105"/>
      <c r="AF27" s="1105"/>
      <c r="AG27" s="1105"/>
      <c r="AH27" s="1105"/>
      <c r="AQ27" s="111">
        <v>0</v>
      </c>
    </row>
    <row r="28" spans="15:43" ht="18.75" hidden="1" customHeight="1">
      <c r="S28" s="1103" t="s">
        <v>424</v>
      </c>
      <c r="T28" s="1103"/>
      <c r="U28" s="337"/>
      <c r="V28" s="1104" t="str">
        <f>IF(TITLE_DATE_PR_CHANGE="",IF(TITLE_DATE_PR="","",TITLE_DATE_PR),TITLE_DATE_PR_CHANGE)</f>
        <v/>
      </c>
      <c r="W28" s="1104"/>
      <c r="X28" s="1104"/>
      <c r="Y28" s="1104"/>
      <c r="Z28" s="1104"/>
      <c r="AA28" s="1104"/>
      <c r="AC28" s="1104" t="str">
        <f>IF(TITLE_DATE_PR_CHANGE="",IF(TITLE_DATE_PR="","",TITLE_DATE_PR),TITLE_DATE_PR_CHANGE)</f>
        <v/>
      </c>
      <c r="AD28" s="1104"/>
      <c r="AE28" s="1104"/>
      <c r="AF28" s="1104"/>
      <c r="AG28" s="1104"/>
      <c r="AH28" s="1104"/>
      <c r="AQ28" s="111">
        <v>0</v>
      </c>
    </row>
    <row r="29" spans="15:43" ht="18.75" hidden="1" customHeight="1">
      <c r="S29" s="1103" t="s">
        <v>425</v>
      </c>
      <c r="T29" s="1103"/>
      <c r="U29" s="337"/>
      <c r="V29" s="1105" t="str">
        <f>IF(TITLE_NUMBER_PR_CHANGE="",IF(TITLE_NUMBER_PR="","",TITLE_NUMBER_PR),TITLE_NUMBER_PR_CHANGE)</f>
        <v/>
      </c>
      <c r="W29" s="1105"/>
      <c r="X29" s="1105"/>
      <c r="Y29" s="1105"/>
      <c r="Z29" s="1105"/>
      <c r="AA29" s="1105"/>
      <c r="AC29" s="1105" t="str">
        <f>IF(TITLE_NUMBER_PR_CHANGE="",IF(TITLE_NUMBER_PR="","",TITLE_NUMBER_PR),TITLE_NUMBER_PR_CHANGE)</f>
        <v/>
      </c>
      <c r="AD29" s="1105"/>
      <c r="AE29" s="1105"/>
      <c r="AF29" s="1105"/>
      <c r="AG29" s="1105"/>
      <c r="AH29" s="1105"/>
      <c r="AQ29" s="111">
        <v>0</v>
      </c>
    </row>
    <row r="30" spans="15:43" ht="18.75" hidden="1" customHeight="1">
      <c r="S30" s="1103" t="s">
        <v>43</v>
      </c>
      <c r="T30" s="1103"/>
      <c r="U30" s="337"/>
      <c r="V30" s="1105" t="str">
        <f>IF(TITLE_IST_PUB_CHANGE="",IF(TITLE_IST_PUB="","",TITLE_IST_PUB),TITLE_IST_PUB_CHANGE)</f>
        <v/>
      </c>
      <c r="W30" s="1105"/>
      <c r="X30" s="1105"/>
      <c r="Y30" s="1105"/>
      <c r="Z30" s="1105"/>
      <c r="AA30" s="1105"/>
      <c r="AC30" s="1105" t="str">
        <f>IF(TITLE_IST_PUB_CHANGE="",IF(TITLE_IST_PUB="","",TITLE_IST_PUB),TITLE_IST_PUB_CHANGE)</f>
        <v/>
      </c>
      <c r="AD30" s="1105"/>
      <c r="AE30" s="1105"/>
      <c r="AF30" s="1105"/>
      <c r="AG30" s="1105"/>
      <c r="AH30" s="1105"/>
      <c r="AQ30" s="111">
        <v>0</v>
      </c>
    </row>
    <row r="31" spans="15:43" ht="14.25" hidden="1" customHeight="1">
      <c r="Q31" s="333"/>
      <c r="R31" s="333"/>
      <c r="S31" s="334"/>
      <c r="T31" s="38"/>
      <c r="U31" s="38"/>
      <c r="V31" s="335"/>
      <c r="W31" s="335"/>
      <c r="X31" s="335"/>
      <c r="Y31" s="335"/>
      <c r="Z31" s="335"/>
      <c r="AA31" s="335"/>
      <c r="AB31" s="335"/>
      <c r="AC31" s="335"/>
      <c r="AD31" s="335"/>
      <c r="AE31" s="335"/>
      <c r="AF31" s="335"/>
      <c r="AG31" s="335"/>
      <c r="AH31" s="335"/>
      <c r="AI31" s="335"/>
      <c r="AQ31" s="17">
        <v>0</v>
      </c>
    </row>
    <row r="32" spans="15:43" ht="18.75" hidden="1" customHeight="1">
      <c r="S32" s="1103" t="s">
        <v>426</v>
      </c>
      <c r="T32" s="1103"/>
      <c r="U32" s="337"/>
      <c r="V32" s="1104" t="str">
        <f>IF(TITLE_DATE_PR_CHANGE="",IF(TITLE_DATE_PR="","",TITLE_DATE_PR),TITLE_DATE_PR_CHANGE)</f>
        <v/>
      </c>
      <c r="W32" s="1104"/>
      <c r="X32" s="1104"/>
      <c r="Y32" s="1104"/>
      <c r="Z32" s="1104"/>
      <c r="AA32" s="1104"/>
      <c r="AC32" s="1104" t="str">
        <f>IF(TITLE_DATE_PR_CHANGE="",IF(TITLE_DATE_PR="","",TITLE_DATE_PR),TITLE_DATE_PR_CHANGE)</f>
        <v/>
      </c>
      <c r="AD32" s="1104"/>
      <c r="AE32" s="1104"/>
      <c r="AF32" s="1104"/>
      <c r="AG32" s="1104"/>
      <c r="AH32" s="1104"/>
      <c r="AQ32" s="111">
        <v>0</v>
      </c>
    </row>
    <row r="33" spans="1:43" ht="18.75" hidden="1" customHeight="1">
      <c r="S33" s="1103" t="s">
        <v>427</v>
      </c>
      <c r="T33" s="1103"/>
      <c r="U33" s="337"/>
      <c r="V33" s="1105" t="str">
        <f>IF(TITLE_NUMBER_PR_CHANGE="",IF(TITLE_NUMBER_PR="","",TITLE_NUMBER_PR),TITLE_NUMBER_PR_CHANGE)</f>
        <v/>
      </c>
      <c r="W33" s="1105"/>
      <c r="X33" s="1105"/>
      <c r="Y33" s="1105"/>
      <c r="Z33" s="1105"/>
      <c r="AA33" s="1105"/>
      <c r="AC33" s="1105" t="str">
        <f>IF(TITLE_NUMBER_PR_CHANGE="",IF(TITLE_NUMBER_PR="","",TITLE_NUMBER_PR),TITLE_NUMBER_PR_CHANGE)</f>
        <v/>
      </c>
      <c r="AD33" s="1105"/>
      <c r="AE33" s="1105"/>
      <c r="AF33" s="1105"/>
      <c r="AG33" s="1105"/>
      <c r="AH33" s="1105"/>
      <c r="AQ33" s="111">
        <v>0</v>
      </c>
    </row>
    <row r="34" spans="1:43" ht="1.1499999999999999" customHeight="1">
      <c r="AB34" s="75" t="s">
        <v>428</v>
      </c>
      <c r="AI34" s="75" t="s">
        <v>428</v>
      </c>
      <c r="AQ34" s="111">
        <v>1</v>
      </c>
    </row>
    <row r="35" spans="1:43" ht="14.65" customHeight="1">
      <c r="Q35" s="333"/>
      <c r="R35" s="333"/>
      <c r="S35" s="334"/>
      <c r="T35" s="38"/>
      <c r="U35" s="339"/>
      <c r="V35" s="1123"/>
      <c r="W35" s="1123"/>
      <c r="X35" s="1123"/>
      <c r="Y35" s="1123"/>
      <c r="Z35" s="1123"/>
      <c r="AA35" s="1123"/>
      <c r="AB35" s="1123"/>
      <c r="AC35" s="1123"/>
      <c r="AD35" s="1123"/>
      <c r="AE35" s="1123"/>
      <c r="AF35" s="1123"/>
      <c r="AG35" s="1123"/>
      <c r="AH35" s="1123"/>
      <c r="AI35" s="1123"/>
      <c r="AQ35" s="17">
        <v>14</v>
      </c>
    </row>
    <row r="36" spans="1:43"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t="s">
        <v>302</v>
      </c>
      <c r="AQ36" s="17">
        <v>14</v>
      </c>
    </row>
    <row r="37" spans="1:43" ht="14.65" customHeight="1">
      <c r="Q37" s="333"/>
      <c r="R37" s="333"/>
      <c r="S37" s="1124" t="s">
        <v>88</v>
      </c>
      <c r="T37" s="1073" t="s">
        <v>429</v>
      </c>
      <c r="U37" s="341"/>
      <c r="V37" s="1125" t="s">
        <v>430</v>
      </c>
      <c r="W37" s="1126"/>
      <c r="X37" s="1126"/>
      <c r="Y37" s="1126"/>
      <c r="Z37" s="1126"/>
      <c r="AA37" s="1127"/>
      <c r="AB37" s="1128" t="s">
        <v>431</v>
      </c>
      <c r="AC37" s="1125" t="s">
        <v>430</v>
      </c>
      <c r="AD37" s="1126"/>
      <c r="AE37" s="1126"/>
      <c r="AF37" s="1126"/>
      <c r="AG37" s="1126"/>
      <c r="AH37" s="1127"/>
      <c r="AI37" s="1128" t="s">
        <v>432</v>
      </c>
      <c r="AJ37" s="1131" t="s">
        <v>433</v>
      </c>
      <c r="AK37" s="995"/>
      <c r="AQ37" s="17">
        <v>14</v>
      </c>
    </row>
    <row r="38" spans="1:43" ht="35.65" customHeight="1">
      <c r="Q38" s="333"/>
      <c r="R38" s="333"/>
      <c r="S38" s="1124"/>
      <c r="T38" s="1073"/>
      <c r="U38" s="343"/>
      <c r="V38" s="161" t="s">
        <v>490</v>
      </c>
      <c r="W38" s="977" t="s">
        <v>436</v>
      </c>
      <c r="X38" s="976"/>
      <c r="Y38" s="977" t="s">
        <v>437</v>
      </c>
      <c r="Z38" s="982"/>
      <c r="AA38" s="976"/>
      <c r="AB38" s="1129"/>
      <c r="AC38" s="161" t="s">
        <v>490</v>
      </c>
      <c r="AD38" s="977" t="s">
        <v>436</v>
      </c>
      <c r="AE38" s="976"/>
      <c r="AF38" s="977" t="s">
        <v>437</v>
      </c>
      <c r="AG38" s="982"/>
      <c r="AH38" s="976"/>
      <c r="AI38" s="1129"/>
      <c r="AJ38" s="1132"/>
      <c r="AK38" s="995"/>
      <c r="AQ38" s="17">
        <v>34</v>
      </c>
    </row>
    <row r="39" spans="1:43" ht="35.65" customHeight="1">
      <c r="B39" s="126" t="s">
        <v>138</v>
      </c>
      <c r="C39" s="126" t="s">
        <v>139</v>
      </c>
      <c r="D39" s="126" t="s">
        <v>140</v>
      </c>
      <c r="E39" s="306" t="s">
        <v>438</v>
      </c>
      <c r="F39" s="306" t="s">
        <v>439</v>
      </c>
      <c r="G39" s="306" t="s">
        <v>440</v>
      </c>
      <c r="I39" s="306" t="s">
        <v>491</v>
      </c>
      <c r="J39" s="306" t="s">
        <v>443</v>
      </c>
      <c r="K39" s="306" t="s">
        <v>492</v>
      </c>
      <c r="L39" s="306" t="s">
        <v>419</v>
      </c>
      <c r="Q39" s="333"/>
      <c r="R39" s="333"/>
      <c r="S39" s="1124"/>
      <c r="T39" s="1073"/>
      <c r="U39" s="344"/>
      <c r="V39" s="161" t="s">
        <v>493</v>
      </c>
      <c r="W39" s="134" t="s">
        <v>494</v>
      </c>
      <c r="X39" s="134" t="s">
        <v>495</v>
      </c>
      <c r="Y39" s="134" t="s">
        <v>447</v>
      </c>
      <c r="Z39" s="1078" t="s">
        <v>448</v>
      </c>
      <c r="AA39" s="1092"/>
      <c r="AB39" s="1130"/>
      <c r="AC39" s="161" t="s">
        <v>493</v>
      </c>
      <c r="AD39" s="134" t="s">
        <v>494</v>
      </c>
      <c r="AE39" s="134" t="s">
        <v>495</v>
      </c>
      <c r="AF39" s="134" t="s">
        <v>447</v>
      </c>
      <c r="AG39" s="1078" t="s">
        <v>448</v>
      </c>
      <c r="AH39" s="1092"/>
      <c r="AI39" s="1130"/>
      <c r="AJ39" s="1133"/>
      <c r="AK39" s="995"/>
      <c r="AQ39" s="17">
        <v>34</v>
      </c>
    </row>
    <row r="40" spans="1:43" ht="0" hidden="1" customHeight="1">
      <c r="Q40" s="347"/>
      <c r="R40" s="348">
        <v>1</v>
      </c>
      <c r="S40" s="349" t="s">
        <v>110</v>
      </c>
      <c r="T40" s="350" t="s">
        <v>111</v>
      </c>
      <c r="U40" s="351" t="str">
        <f ca="1">OFFSET(U40,0,-1)</f>
        <v>2</v>
      </c>
      <c r="V40" s="352">
        <f ca="1">OFFSET(V40,0,-1)+1</f>
        <v>3</v>
      </c>
      <c r="W40" s="352">
        <f ca="1">OFFSET(W40,0,-1)+1</f>
        <v>4</v>
      </c>
      <c r="X40" s="352">
        <f ca="1">OFFSET(X40,0,-1)+1</f>
        <v>5</v>
      </c>
      <c r="Y40" s="352">
        <f ca="1">OFFSET(Y40,0,-1)+1</f>
        <v>6</v>
      </c>
      <c r="Z40" s="1122">
        <f ca="1">OFFSET(Z40,0,-1)+1</f>
        <v>7</v>
      </c>
      <c r="AA40" s="1122"/>
      <c r="AB40" s="352">
        <f ca="1">OFFSET(AB40,0,-2)+1</f>
        <v>8</v>
      </c>
      <c r="AC40" s="352">
        <f ca="1">OFFSET(AC40,0,-1)+1</f>
        <v>9</v>
      </c>
      <c r="AD40" s="352">
        <f ca="1">OFFSET(AD40,0,-1)+1</f>
        <v>10</v>
      </c>
      <c r="AE40" s="352">
        <f ca="1">OFFSET(AE40,0,-1)+1</f>
        <v>11</v>
      </c>
      <c r="AF40" s="352">
        <f ca="1">OFFSET(AF40,0,-1)+1</f>
        <v>12</v>
      </c>
      <c r="AG40" s="1122">
        <f ca="1">OFFSET(AG40,0,-1)+1</f>
        <v>13</v>
      </c>
      <c r="AH40" s="1122"/>
      <c r="AI40" s="352">
        <f ca="1">OFFSET(AI40,0,-2)+1</f>
        <v>14</v>
      </c>
      <c r="AJ40" s="351">
        <f ca="1">OFFSET(AJ40,0,-1)</f>
        <v>14</v>
      </c>
      <c r="AK40" s="352">
        <f ca="1">OFFSET(AK40,0,-1)+1</f>
        <v>15</v>
      </c>
      <c r="AQ40" s="258">
        <v>0</v>
      </c>
    </row>
    <row r="41" spans="1:43" ht="24" customHeight="1">
      <c r="A41" s="353" t="s">
        <v>232</v>
      </c>
      <c r="E41" s="1111">
        <v>1</v>
      </c>
      <c r="R41" s="294"/>
      <c r="S41" s="295">
        <f>INDEX(PT_DIFFERENTIATION_NUM_NTAR,MATCH(A41,PT_DIFFERENTIATION_NTAR_ID,0))</f>
        <v>0</v>
      </c>
      <c r="T41" s="296" t="s">
        <v>126</v>
      </c>
      <c r="U41" s="297"/>
      <c r="V41" s="1106"/>
      <c r="W41" s="1107"/>
      <c r="X41" s="1107"/>
      <c r="Y41" s="1107"/>
      <c r="Z41" s="1107"/>
      <c r="AA41" s="1107"/>
      <c r="AB41" s="1108"/>
      <c r="AC41" s="1106" t="str">
        <f>INDEX(PT_DIFFERENTIATION_NTAR,MATCH(A41,PT_DIFFERENTIATION_NTAR_ID,0))</f>
        <v/>
      </c>
      <c r="AD41" s="1107"/>
      <c r="AE41" s="1107"/>
      <c r="AF41" s="1107"/>
      <c r="AG41" s="1107"/>
      <c r="AH41" s="1107"/>
      <c r="AI41" s="1107"/>
      <c r="AJ41" s="1108"/>
      <c r="AK41"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7" t="str">
        <f t="shared" ref="AN41:AN53" si="1">IF(T41="","",T41)</f>
        <v>Наименование тарифа</v>
      </c>
      <c r="AQ41" s="17">
        <v>23</v>
      </c>
    </row>
    <row r="42" spans="1:43" ht="24" customHeight="1">
      <c r="A42" s="353" t="s">
        <v>232</v>
      </c>
      <c r="B42" s="353" t="s">
        <v>233</v>
      </c>
      <c r="E42" s="1112"/>
      <c r="F42" s="1111">
        <v>1</v>
      </c>
      <c r="Q42" s="300"/>
      <c r="R42" s="301"/>
      <c r="S42" s="295" t="str">
        <f>INDEX(PT_DIFFERENTIATION_NUM_TER,MATCH(B42,PT_DIFFERENTIATION_TER_ID,0))</f>
        <v>.</v>
      </c>
      <c r="T42" s="302" t="s">
        <v>398</v>
      </c>
      <c r="U42" s="297"/>
      <c r="V42" s="1106"/>
      <c r="W42" s="1107"/>
      <c r="X42" s="1107"/>
      <c r="Y42" s="1107"/>
      <c r="Z42" s="1107"/>
      <c r="AA42" s="1107"/>
      <c r="AB42" s="1108"/>
      <c r="AC42" s="1106" t="str">
        <f>INDEX(PT_DIFFERENTIATION_TER,MATCH(B42,PT_DIFFERENTIATION_TER_ID,0))</f>
        <v/>
      </c>
      <c r="AD42" s="1107"/>
      <c r="AE42" s="1107"/>
      <c r="AF42" s="1107"/>
      <c r="AG42" s="1107"/>
      <c r="AH42" s="1107"/>
      <c r="AI42" s="1107"/>
      <c r="AJ42" s="1108"/>
      <c r="AK42" s="299" t="s">
        <v>399</v>
      </c>
      <c r="AN42" s="87" t="str">
        <f t="shared" si="1"/>
        <v>Территория действия тарифа</v>
      </c>
      <c r="AQ42" s="17">
        <v>23</v>
      </c>
    </row>
    <row r="43" spans="1:43" ht="24" customHeight="1">
      <c r="A43" s="353" t="s">
        <v>232</v>
      </c>
      <c r="B43" s="353" t="s">
        <v>233</v>
      </c>
      <c r="C43" s="353" t="s">
        <v>234</v>
      </c>
      <c r="E43" s="1112"/>
      <c r="F43" s="1112"/>
      <c r="G43" s="1111">
        <v>1</v>
      </c>
      <c r="Q43" s="300"/>
      <c r="R43" s="301"/>
      <c r="S43" s="295" t="str">
        <f>INDEX(PT_DIFFERENTIATION_NUM_CS,MATCH(C43,PT_DIFFERENTIATION_CS_ID,0))</f>
        <v>..</v>
      </c>
      <c r="T43" s="303" t="s">
        <v>482</v>
      </c>
      <c r="U43" s="297"/>
      <c r="V43" s="1106"/>
      <c r="W43" s="1107"/>
      <c r="X43" s="1107"/>
      <c r="Y43" s="1107"/>
      <c r="Z43" s="1107"/>
      <c r="AA43" s="1107"/>
      <c r="AB43" s="1108"/>
      <c r="AC43" s="1106" t="str">
        <f>INDEX(PT_DIFFERENTIATION_CS,MATCH(C43,PT_DIFFERENTIATION_CS_ID,0))</f>
        <v/>
      </c>
      <c r="AD43" s="1107"/>
      <c r="AE43" s="1107"/>
      <c r="AF43" s="1107"/>
      <c r="AG43" s="1107"/>
      <c r="AH43" s="1107"/>
      <c r="AI43" s="1107"/>
      <c r="AJ43" s="1108"/>
      <c r="AK43" s="299" t="s">
        <v>483</v>
      </c>
      <c r="AN43" s="87" t="str">
        <f t="shared" si="1"/>
        <v>Наименование централизованной системы холодного водоснабжения</v>
      </c>
      <c r="AQ43" s="17">
        <v>23</v>
      </c>
    </row>
    <row r="44" spans="1:43" ht="24" customHeight="1">
      <c r="A44" s="353" t="s">
        <v>232</v>
      </c>
      <c r="B44" s="353" t="s">
        <v>233</v>
      </c>
      <c r="C44" s="353" t="s">
        <v>234</v>
      </c>
      <c r="D44" s="353" t="s">
        <v>497</v>
      </c>
      <c r="E44" s="1112"/>
      <c r="F44" s="1112"/>
      <c r="G44" s="1112"/>
      <c r="H44" s="1112"/>
      <c r="I44" s="1113" t="str">
        <f>S43&amp;".1"</f>
        <v>...1</v>
      </c>
      <c r="P44" s="1115">
        <v>1</v>
      </c>
      <c r="R44" s="307"/>
      <c r="S44" s="295" t="str">
        <f>$I44</f>
        <v>...1</v>
      </c>
      <c r="T44" s="308" t="s">
        <v>484</v>
      </c>
      <c r="U44" s="297"/>
      <c r="V44" s="1179"/>
      <c r="W44" s="1180"/>
      <c r="X44" s="1180"/>
      <c r="Y44" s="1180"/>
      <c r="Z44" s="1180"/>
      <c r="AA44" s="1180"/>
      <c r="AB44" s="1181"/>
      <c r="AC44" s="1182"/>
      <c r="AD44" s="1183"/>
      <c r="AE44" s="1183"/>
      <c r="AF44" s="1183"/>
      <c r="AG44" s="1183"/>
      <c r="AH44" s="1183"/>
      <c r="AI44" s="1183"/>
      <c r="AJ44" s="1184"/>
      <c r="AK44" s="299" t="s">
        <v>485</v>
      </c>
      <c r="AN44" s="87" t="str">
        <f t="shared" si="1"/>
        <v>Наименование признака дифференциации</v>
      </c>
      <c r="AQ44" s="17">
        <v>23</v>
      </c>
    </row>
    <row r="45" spans="1:43" ht="24" customHeight="1">
      <c r="A45" s="353" t="s">
        <v>232</v>
      </c>
      <c r="B45" s="353" t="s">
        <v>233</v>
      </c>
      <c r="C45" s="353" t="s">
        <v>234</v>
      </c>
      <c r="D45" s="353" t="s">
        <v>497</v>
      </c>
      <c r="E45" s="1112"/>
      <c r="F45" s="1112"/>
      <c r="G45" s="1112"/>
      <c r="H45" s="1112"/>
      <c r="I45" s="1114"/>
      <c r="J45" s="1113" t="str">
        <f>I44&amp;".1"</f>
        <v>...1.1</v>
      </c>
      <c r="L45" s="306" t="s">
        <v>407</v>
      </c>
      <c r="P45" s="964"/>
      <c r="Q45" s="1115">
        <v>1</v>
      </c>
      <c r="R45" s="309"/>
      <c r="S45" s="295" t="str">
        <f>$J45</f>
        <v>...1.1</v>
      </c>
      <c r="T45" s="310" t="s">
        <v>408</v>
      </c>
      <c r="U45" s="297"/>
      <c r="V45" s="1100"/>
      <c r="W45" s="1101"/>
      <c r="X45" s="1101"/>
      <c r="Y45" s="1101"/>
      <c r="Z45" s="1101"/>
      <c r="AA45" s="1101"/>
      <c r="AB45" s="1102"/>
      <c r="AC45" s="1100"/>
      <c r="AD45" s="1101"/>
      <c r="AE45" s="1101"/>
      <c r="AF45" s="1101"/>
      <c r="AG45" s="1101"/>
      <c r="AH45" s="1101"/>
      <c r="AI45" s="1101"/>
      <c r="AJ45" s="1102"/>
      <c r="AK45" s="386" t="s">
        <v>486</v>
      </c>
      <c r="AN45" s="87" t="str">
        <f t="shared" si="1"/>
        <v>Группа потребителей</v>
      </c>
      <c r="AQ45" s="17">
        <v>23</v>
      </c>
    </row>
    <row r="46" spans="1:43" ht="24" customHeight="1">
      <c r="A46" s="353" t="s">
        <v>232</v>
      </c>
      <c r="B46" s="353" t="s">
        <v>233</v>
      </c>
      <c r="C46" s="353" t="s">
        <v>234</v>
      </c>
      <c r="D46" s="353" t="s">
        <v>497</v>
      </c>
      <c r="E46" s="1112"/>
      <c r="F46" s="1112"/>
      <c r="G46" s="1112"/>
      <c r="H46" s="1112"/>
      <c r="I46" s="1114"/>
      <c r="J46" s="1114"/>
      <c r="K46" s="1113" t="str">
        <f>J45&amp;".1"</f>
        <v>...1.1.1</v>
      </c>
      <c r="P46" s="964"/>
      <c r="Q46" s="964"/>
      <c r="R46" s="309">
        <v>1</v>
      </c>
      <c r="S46" s="295" t="str">
        <f>$K46</f>
        <v>...1.1.1</v>
      </c>
      <c r="T46" s="426"/>
      <c r="U46" s="297"/>
      <c r="V46" s="312"/>
      <c r="W46" s="312"/>
      <c r="X46" s="314"/>
      <c r="Y46" s="1116"/>
      <c r="Z46" s="1004" t="s">
        <v>66</v>
      </c>
      <c r="AA46" s="1116"/>
      <c r="AB46" s="1004" t="s">
        <v>66</v>
      </c>
      <c r="AC46" s="312"/>
      <c r="AD46" s="312"/>
      <c r="AE46" s="314"/>
      <c r="AF46" s="1116"/>
      <c r="AG46" s="1004" t="s">
        <v>66</v>
      </c>
      <c r="AH46" s="1118"/>
      <c r="AI46" s="1004" t="s">
        <v>66</v>
      </c>
      <c r="AJ46" s="427"/>
      <c r="AK46"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 t="e">
        <f ca="1">STRCHECKDATE(V47:AJ47)</f>
        <v>#NAME?</v>
      </c>
      <c r="AN46" s="87" t="str">
        <f t="shared" si="1"/>
        <v/>
      </c>
      <c r="AQ46" s="17">
        <v>23</v>
      </c>
    </row>
    <row r="47" spans="1:43" ht="0" hidden="1" customHeight="1">
      <c r="A47" s="353" t="s">
        <v>232</v>
      </c>
      <c r="B47" s="353" t="s">
        <v>233</v>
      </c>
      <c r="C47" s="353" t="s">
        <v>234</v>
      </c>
      <c r="D47" s="353" t="s">
        <v>497</v>
      </c>
      <c r="E47" s="1112"/>
      <c r="F47" s="1112"/>
      <c r="G47" s="1112"/>
      <c r="H47" s="1112"/>
      <c r="I47" s="1114"/>
      <c r="J47" s="1114"/>
      <c r="K47" s="1113"/>
      <c r="P47" s="964"/>
      <c r="Q47" s="964"/>
      <c r="R47" s="309"/>
      <c r="S47" s="278"/>
      <c r="T47" s="297"/>
      <c r="U47" s="297"/>
      <c r="V47" s="313"/>
      <c r="W47" s="313"/>
      <c r="X47" s="316" t="str">
        <f>Y46&amp;"-"&amp;AA46</f>
        <v>-</v>
      </c>
      <c r="Y47" s="1117"/>
      <c r="Z47" s="1004"/>
      <c r="AA47" s="1117"/>
      <c r="AB47" s="1004"/>
      <c r="AC47" s="313"/>
      <c r="AD47" s="313"/>
      <c r="AE47" s="316" t="str">
        <f>AF46&amp;"-"&amp;AH46</f>
        <v>-</v>
      </c>
      <c r="AF47" s="1117"/>
      <c r="AG47" s="1004"/>
      <c r="AH47" s="1119"/>
      <c r="AI47" s="1004"/>
      <c r="AJ47" s="428"/>
      <c r="AK47" s="1185"/>
      <c r="AN47" s="87" t="str">
        <f t="shared" si="1"/>
        <v/>
      </c>
      <c r="AQ47" s="17">
        <v>0</v>
      </c>
    </row>
    <row r="48" spans="1:43" ht="21" customHeight="1">
      <c r="A48" s="353" t="s">
        <v>232</v>
      </c>
      <c r="B48" s="353" t="s">
        <v>233</v>
      </c>
      <c r="C48" s="353" t="s">
        <v>234</v>
      </c>
      <c r="D48" s="353" t="s">
        <v>497</v>
      </c>
      <c r="E48" s="1112"/>
      <c r="F48" s="1112"/>
      <c r="G48" s="1112"/>
      <c r="H48" s="1112"/>
      <c r="I48" s="1114"/>
      <c r="J48" s="1113"/>
      <c r="P48" s="964"/>
      <c r="Q48" s="964"/>
      <c r="R48" s="307"/>
      <c r="S48" s="318"/>
      <c r="T48" s="321" t="s">
        <v>487</v>
      </c>
      <c r="U48" s="117"/>
      <c r="V48" s="117"/>
      <c r="W48" s="117"/>
      <c r="X48" s="117"/>
      <c r="Y48" s="117"/>
      <c r="Z48" s="117"/>
      <c r="AA48" s="117"/>
      <c r="AB48" s="117"/>
      <c r="AC48" s="117"/>
      <c r="AD48" s="117"/>
      <c r="AE48" s="117"/>
      <c r="AF48" s="117"/>
      <c r="AG48" s="117"/>
      <c r="AH48" s="117"/>
      <c r="AI48" s="117"/>
      <c r="AJ48" s="117"/>
      <c r="AK48" s="299" t="s">
        <v>488</v>
      </c>
      <c r="AN48" s="87" t="str">
        <f t="shared" si="1"/>
        <v>Добавить значение признака дифференциации</v>
      </c>
      <c r="AQ48" s="17">
        <v>20</v>
      </c>
    </row>
    <row r="49" spans="1:43" ht="21.95" customHeight="1">
      <c r="A49" s="353" t="s">
        <v>232</v>
      </c>
      <c r="B49" s="353" t="s">
        <v>233</v>
      </c>
      <c r="C49" s="353" t="s">
        <v>234</v>
      </c>
      <c r="D49" s="353" t="s">
        <v>497</v>
      </c>
      <c r="E49" s="1112"/>
      <c r="F49" s="1112"/>
      <c r="G49" s="1112"/>
      <c r="H49" s="1112"/>
      <c r="I49" s="1113"/>
      <c r="P49" s="964"/>
      <c r="R49" s="307"/>
      <c r="S49" s="318"/>
      <c r="T49" s="324" t="s">
        <v>413</v>
      </c>
      <c r="U49" s="117"/>
      <c r="V49" s="117"/>
      <c r="W49" s="117"/>
      <c r="X49" s="117"/>
      <c r="Y49" s="117"/>
      <c r="Z49" s="117"/>
      <c r="AA49" s="117"/>
      <c r="AB49" s="322"/>
      <c r="AC49" s="117"/>
      <c r="AD49" s="117"/>
      <c r="AE49" s="117"/>
      <c r="AF49" s="117"/>
      <c r="AG49" s="117"/>
      <c r="AH49" s="117"/>
      <c r="AI49" s="322"/>
      <c r="AJ49" s="117"/>
      <c r="AK49" s="429"/>
      <c r="AN49" s="87" t="str">
        <f t="shared" si="1"/>
        <v>Добавить группу потребителей</v>
      </c>
      <c r="AQ49" s="17">
        <v>21</v>
      </c>
    </row>
    <row r="50" spans="1:43" ht="21.95" customHeight="1">
      <c r="A50" s="353" t="s">
        <v>232</v>
      </c>
      <c r="B50" s="353" t="s">
        <v>233</v>
      </c>
      <c r="C50" s="353" t="s">
        <v>234</v>
      </c>
      <c r="D50" s="353" t="s">
        <v>497</v>
      </c>
      <c r="E50" s="1112"/>
      <c r="F50" s="1112"/>
      <c r="G50" s="1112"/>
      <c r="H50" s="1111"/>
      <c r="R50" s="294"/>
      <c r="S50" s="318"/>
      <c r="T50" s="430" t="s">
        <v>489</v>
      </c>
      <c r="U50" s="117"/>
      <c r="V50" s="117"/>
      <c r="W50" s="117"/>
      <c r="X50" s="117"/>
      <c r="Y50" s="117"/>
      <c r="Z50" s="117"/>
      <c r="AA50" s="117"/>
      <c r="AB50" s="322"/>
      <c r="AC50" s="117"/>
      <c r="AD50" s="117"/>
      <c r="AE50" s="117"/>
      <c r="AF50" s="117"/>
      <c r="AG50" s="117"/>
      <c r="AH50" s="117"/>
      <c r="AI50" s="322"/>
      <c r="AJ50" s="117"/>
      <c r="AK50" s="323"/>
      <c r="AN50" s="87" t="str">
        <f t="shared" si="1"/>
        <v>Добавить наименование признака дифференциации</v>
      </c>
      <c r="AQ50" s="17">
        <v>21</v>
      </c>
    </row>
    <row r="51" spans="1:43" ht="0" hidden="1" customHeight="1">
      <c r="A51" s="72" t="s">
        <v>232</v>
      </c>
      <c r="B51" s="72" t="s">
        <v>233</v>
      </c>
      <c r="E51" s="1112"/>
      <c r="F51" s="1111"/>
      <c r="T51" s="329" t="s">
        <v>416</v>
      </c>
      <c r="AN51" s="87" t="str">
        <f t="shared" si="1"/>
        <v>Добавить централизованную систему для дифференциации</v>
      </c>
      <c r="AQ51" s="75">
        <v>0</v>
      </c>
    </row>
    <row r="52" spans="1:43" ht="0" hidden="1" customHeight="1">
      <c r="A52" s="72" t="s">
        <v>232</v>
      </c>
      <c r="E52" s="1111"/>
      <c r="T52" s="329" t="s">
        <v>417</v>
      </c>
      <c r="AN52" s="87" t="str">
        <f t="shared" si="1"/>
        <v>Добавить территорию для дифференциации</v>
      </c>
      <c r="AQ52" s="75">
        <v>0</v>
      </c>
    </row>
    <row r="53" spans="1:43" ht="0" hidden="1" customHeight="1">
      <c r="T53" s="329" t="s">
        <v>449</v>
      </c>
      <c r="AN53" s="87" t="str">
        <f t="shared" si="1"/>
        <v>Добавить наименование тарифа</v>
      </c>
      <c r="AQ53" s="75">
        <v>0</v>
      </c>
    </row>
    <row r="54" spans="1:43" ht="11.45" customHeight="1">
      <c r="AQ54" s="17">
        <v>11</v>
      </c>
    </row>
    <row r="55" spans="1:43" ht="14.65" customHeight="1">
      <c r="T55" s="964"/>
      <c r="U55" s="964"/>
      <c r="V55" s="964"/>
      <c r="W55" s="964"/>
      <c r="X55" s="964"/>
      <c r="Y55" s="964"/>
      <c r="Z55" s="964"/>
      <c r="AA55" s="964"/>
      <c r="AB55" s="964"/>
      <c r="AC55" s="964"/>
      <c r="AD55" s="964"/>
      <c r="AE55" s="964"/>
      <c r="AF55" s="964"/>
      <c r="AG55" s="964"/>
      <c r="AH55" s="964"/>
      <c r="AI55" s="964"/>
      <c r="AJ55" s="964"/>
      <c r="AK55" s="964"/>
      <c r="AQ55" s="17">
        <v>14</v>
      </c>
    </row>
    <row r="56" spans="1:43" ht="14.65" customHeight="1">
      <c r="AQ56" s="17">
        <v>14</v>
      </c>
    </row>
    <row r="57" spans="1:43" ht="14.65" customHeight="1">
      <c r="T57" s="964"/>
      <c r="U57" s="964"/>
      <c r="V57" s="964"/>
      <c r="W57" s="964"/>
      <c r="X57" s="964"/>
      <c r="Y57" s="964"/>
      <c r="Z57" s="964"/>
      <c r="AA57" s="964"/>
      <c r="AB57" s="964"/>
      <c r="AC57" s="964"/>
      <c r="AD57" s="964"/>
      <c r="AE57" s="964"/>
      <c r="AF57" s="964"/>
      <c r="AG57" s="964"/>
      <c r="AH57" s="964"/>
      <c r="AI57" s="964"/>
      <c r="AJ57" s="964"/>
      <c r="AK57" s="964"/>
      <c r="AQ57" s="17">
        <v>14</v>
      </c>
    </row>
    <row r="58" spans="1:43" ht="22.5" hidden="1" customHeight="1">
      <c r="A58" s="37" t="s">
        <v>82</v>
      </c>
      <c r="B58" s="37">
        <v>0</v>
      </c>
      <c r="C58" s="37">
        <v>0</v>
      </c>
      <c r="D58" s="37">
        <v>0</v>
      </c>
      <c r="E58" s="37">
        <v>0</v>
      </c>
      <c r="F58" s="37">
        <v>0</v>
      </c>
      <c r="G58" s="37">
        <v>0</v>
      </c>
      <c r="H58" s="37">
        <v>0</v>
      </c>
      <c r="I58" s="37">
        <v>0</v>
      </c>
      <c r="J58" s="37">
        <v>0</v>
      </c>
      <c r="K58" s="37">
        <v>0</v>
      </c>
      <c r="L58" s="240">
        <v>0</v>
      </c>
      <c r="M58" s="41">
        <v>0</v>
      </c>
      <c r="N58" s="41">
        <v>0</v>
      </c>
      <c r="O58" s="41">
        <v>0</v>
      </c>
      <c r="P58" s="356">
        <v>3</v>
      </c>
      <c r="Q58" s="357">
        <v>3</v>
      </c>
      <c r="R58" s="357">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5">
        <v>10</v>
      </c>
      <c r="AM58" s="75">
        <v>10</v>
      </c>
      <c r="AN58" s="75">
        <v>10</v>
      </c>
      <c r="AO58" s="75">
        <v>10</v>
      </c>
      <c r="AP58" s="75">
        <v>10</v>
      </c>
      <c r="AQ58" s="17">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AB3F-7756-F30D-0EF6-616C605B254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c r="AQ1" s="17" t="s">
        <v>14</v>
      </c>
    </row>
    <row r="2" spans="5:43" ht="23.25" hidden="1" customHeight="1">
      <c r="E2" s="1111">
        <v>1</v>
      </c>
      <c r="R2" s="294"/>
      <c r="S2" s="295" t="e">
        <f>INDEX(PT_DIFFERENTIATION_NUM_NTAR,MATCH(A2,PT_DIFFERENTIATION_NTAR_ID,0))</f>
        <v>#N/A</v>
      </c>
      <c r="T2" s="296" t="s">
        <v>126</v>
      </c>
      <c r="U2" s="297"/>
      <c r="V2" s="1106"/>
      <c r="W2" s="1107"/>
      <c r="X2" s="1107"/>
      <c r="Y2" s="1107"/>
      <c r="Z2" s="1107"/>
      <c r="AA2" s="1107"/>
      <c r="AB2" s="1108"/>
      <c r="AC2" s="1106" t="e">
        <f>INDEX(PT_DIFFERENTIATION_NTAR,MATCH(A2,PT_DIFFERENTIATION_NTAR_ID,0))</f>
        <v>#N/A</v>
      </c>
      <c r="AD2" s="1107"/>
      <c r="AE2" s="1107"/>
      <c r="AF2" s="1107"/>
      <c r="AG2" s="1107"/>
      <c r="AH2" s="1107"/>
      <c r="AI2" s="1107"/>
      <c r="AJ2" s="1108"/>
      <c r="AK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7" t="str">
        <f t="shared" ref="AN2:AN13" si="0">IF(T2="","",T2)</f>
        <v>Наименование тарифа</v>
      </c>
      <c r="AQ2" s="17">
        <v>0</v>
      </c>
    </row>
    <row r="3" spans="5:43"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8"/>
      <c r="AC3" s="1106" t="e">
        <f>INDEX(PT_DIFFERENTIATION_TER,MATCH(B3,PT_DIFFERENTIATION_TER_ID,0))</f>
        <v>#N/A</v>
      </c>
      <c r="AD3" s="1107"/>
      <c r="AE3" s="1107"/>
      <c r="AF3" s="1107"/>
      <c r="AG3" s="1107"/>
      <c r="AH3" s="1107"/>
      <c r="AI3" s="1107"/>
      <c r="AJ3" s="1108"/>
      <c r="AK3" s="299" t="s">
        <v>399</v>
      </c>
      <c r="AN3" s="87" t="str">
        <f t="shared" si="0"/>
        <v>Территория действия тарифа</v>
      </c>
      <c r="AQ3" s="17">
        <v>0</v>
      </c>
    </row>
    <row r="4" spans="5:43" ht="23.25" hidden="1" customHeight="1">
      <c r="E4" s="1112"/>
      <c r="F4" s="1112"/>
      <c r="G4" s="1111">
        <v>1</v>
      </c>
      <c r="Q4" s="300"/>
      <c r="R4" s="301"/>
      <c r="S4" s="295" t="e">
        <f>INDEX(PT_DIFFERENTIATION_NUM_CS,MATCH(C4,PT_DIFFERENTIATION_CS_ID,0))</f>
        <v>#N/A</v>
      </c>
      <c r="T4" s="303" t="s">
        <v>482</v>
      </c>
      <c r="U4" s="297"/>
      <c r="V4" s="1106"/>
      <c r="W4" s="1107"/>
      <c r="X4" s="1107"/>
      <c r="Y4" s="1107"/>
      <c r="Z4" s="1107"/>
      <c r="AA4" s="1107"/>
      <c r="AB4" s="1108"/>
      <c r="AC4" s="1106" t="e">
        <f>INDEX(PT_DIFFERENTIATION_CS,MATCH(C4,PT_DIFFERENTIATION_CS_ID,0))</f>
        <v>#N/A</v>
      </c>
      <c r="AD4" s="1107"/>
      <c r="AE4" s="1107"/>
      <c r="AF4" s="1107"/>
      <c r="AG4" s="1107"/>
      <c r="AH4" s="1107"/>
      <c r="AI4" s="1107"/>
      <c r="AJ4" s="1108"/>
      <c r="AK4" s="299" t="s">
        <v>483</v>
      </c>
      <c r="AN4" s="87" t="str">
        <f t="shared" si="0"/>
        <v>Наименование централизованной системы холодного водоснабжения</v>
      </c>
      <c r="AQ4" s="17">
        <v>0</v>
      </c>
    </row>
    <row r="5" spans="5:43"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1"/>
      <c r="AC5" s="1182"/>
      <c r="AD5" s="1183"/>
      <c r="AE5" s="1183"/>
      <c r="AF5" s="1183"/>
      <c r="AG5" s="1183"/>
      <c r="AH5" s="1183"/>
      <c r="AI5" s="1183"/>
      <c r="AJ5" s="1184"/>
      <c r="AK5" s="299" t="s">
        <v>485</v>
      </c>
      <c r="AN5" s="87" t="str">
        <f t="shared" si="0"/>
        <v>Наименование признака дифференциации</v>
      </c>
      <c r="AQ5" s="17">
        <v>0</v>
      </c>
    </row>
    <row r="6" spans="5:43"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2"/>
      <c r="AC6" s="1100"/>
      <c r="AD6" s="1101"/>
      <c r="AE6" s="1101"/>
      <c r="AF6" s="1101"/>
      <c r="AG6" s="1101"/>
      <c r="AH6" s="1101"/>
      <c r="AI6" s="1101"/>
      <c r="AJ6" s="1102"/>
      <c r="AK6" s="386" t="s">
        <v>486</v>
      </c>
      <c r="AN6" s="87" t="str">
        <f t="shared" si="0"/>
        <v>Группа потребителей</v>
      </c>
      <c r="AQ6" s="17">
        <v>0</v>
      </c>
    </row>
    <row r="7" spans="5:43" ht="23.25" hidden="1" customHeight="1">
      <c r="E7" s="1112"/>
      <c r="F7" s="1112"/>
      <c r="G7" s="1112"/>
      <c r="H7" s="1112"/>
      <c r="I7" s="1114"/>
      <c r="J7" s="1114"/>
      <c r="K7" s="1113" t="e">
        <f>J6&amp;".1"</f>
        <v>#N/A</v>
      </c>
      <c r="P7" s="964"/>
      <c r="Q7" s="964"/>
      <c r="R7" s="309">
        <v>1</v>
      </c>
      <c r="S7" s="295" t="e">
        <f>$K7</f>
        <v>#N/A</v>
      </c>
      <c r="T7" s="426"/>
      <c r="U7" s="297"/>
      <c r="V7" s="312"/>
      <c r="W7" s="312"/>
      <c r="X7" s="314"/>
      <c r="Y7" s="1116"/>
      <c r="Z7" s="1004" t="s">
        <v>66</v>
      </c>
      <c r="AA7" s="1116"/>
      <c r="AB7" s="1004" t="s">
        <v>66</v>
      </c>
      <c r="AC7" s="312"/>
      <c r="AD7" s="312"/>
      <c r="AE7" s="314"/>
      <c r="AF7" s="1116"/>
      <c r="AG7" s="1004" t="s">
        <v>66</v>
      </c>
      <c r="AH7" s="1118"/>
      <c r="AI7" s="1004" t="s">
        <v>66</v>
      </c>
      <c r="AJ7" s="427"/>
      <c r="AK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 t="e">
        <f ca="1">STRCHECKDATE(V8:AJ8)</f>
        <v>#NAME?</v>
      </c>
      <c r="AN7" s="87" t="str">
        <f t="shared" si="0"/>
        <v/>
      </c>
      <c r="AQ7" s="17">
        <v>0</v>
      </c>
    </row>
    <row r="8" spans="5:43" ht="14.25" hidden="1" customHeight="1">
      <c r="E8" s="1112"/>
      <c r="F8" s="1112"/>
      <c r="G8" s="1112"/>
      <c r="H8" s="1112"/>
      <c r="I8" s="1114"/>
      <c r="J8" s="1114"/>
      <c r="K8" s="1113"/>
      <c r="P8" s="964"/>
      <c r="Q8" s="964"/>
      <c r="R8" s="309"/>
      <c r="S8" s="278"/>
      <c r="T8" s="297"/>
      <c r="U8" s="297"/>
      <c r="V8" s="313"/>
      <c r="W8" s="313"/>
      <c r="X8" s="316" t="str">
        <f>Y7&amp;"-"&amp;AA7</f>
        <v>-</v>
      </c>
      <c r="Y8" s="1117"/>
      <c r="Z8" s="1004"/>
      <c r="AA8" s="1117"/>
      <c r="AB8" s="1004"/>
      <c r="AC8" s="313"/>
      <c r="AD8" s="313"/>
      <c r="AE8" s="316" t="str">
        <f>AF7&amp;"-"&amp;AH7</f>
        <v>-</v>
      </c>
      <c r="AF8" s="1117"/>
      <c r="AG8" s="1004"/>
      <c r="AH8" s="1119"/>
      <c r="AI8" s="1004"/>
      <c r="AJ8" s="428"/>
      <c r="AK8" s="1185"/>
      <c r="AN8" s="87" t="str">
        <f t="shared" si="0"/>
        <v/>
      </c>
      <c r="AQ8" s="17">
        <v>0</v>
      </c>
    </row>
    <row r="9" spans="5:43"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299" t="s">
        <v>488</v>
      </c>
      <c r="AN9" s="87" t="str">
        <f t="shared" si="0"/>
        <v>Добавить значение признака дифференциации</v>
      </c>
      <c r="AQ9" s="17">
        <v>0</v>
      </c>
    </row>
    <row r="10" spans="5:43" ht="21" hidden="1" customHeight="1">
      <c r="E10" s="1112"/>
      <c r="F10" s="1112"/>
      <c r="G10" s="1112"/>
      <c r="H10" s="1112"/>
      <c r="I10" s="1113"/>
      <c r="P10" s="964"/>
      <c r="R10" s="307"/>
      <c r="S10" s="318"/>
      <c r="T10" s="324" t="s">
        <v>413</v>
      </c>
      <c r="U10" s="117"/>
      <c r="V10" s="117"/>
      <c r="W10" s="117"/>
      <c r="X10" s="117"/>
      <c r="Y10" s="117"/>
      <c r="Z10" s="117"/>
      <c r="AA10" s="117"/>
      <c r="AB10" s="322"/>
      <c r="AC10" s="117"/>
      <c r="AD10" s="117"/>
      <c r="AE10" s="117"/>
      <c r="AF10" s="117"/>
      <c r="AG10" s="117"/>
      <c r="AH10" s="117"/>
      <c r="AI10" s="322"/>
      <c r="AJ10" s="117"/>
      <c r="AK10" s="429"/>
      <c r="AN10" s="87" t="str">
        <f t="shared" si="0"/>
        <v>Добавить группу потребителей</v>
      </c>
      <c r="AQ10" s="17">
        <v>0</v>
      </c>
    </row>
    <row r="11" spans="5:43" ht="21" hidden="1" customHeight="1">
      <c r="E11" s="1112"/>
      <c r="F11" s="1112"/>
      <c r="G11" s="1112"/>
      <c r="H11" s="1111"/>
      <c r="R11" s="294"/>
      <c r="S11" s="318"/>
      <c r="T11" s="430" t="s">
        <v>489</v>
      </c>
      <c r="U11" s="117"/>
      <c r="V11" s="117"/>
      <c r="W11" s="117"/>
      <c r="X11" s="117"/>
      <c r="Y11" s="117"/>
      <c r="Z11" s="117"/>
      <c r="AA11" s="117"/>
      <c r="AB11" s="322"/>
      <c r="AC11" s="117"/>
      <c r="AD11" s="117"/>
      <c r="AE11" s="117"/>
      <c r="AF11" s="117"/>
      <c r="AG11" s="117"/>
      <c r="AH11" s="117"/>
      <c r="AI11" s="322"/>
      <c r="AJ11" s="117"/>
      <c r="AK11" s="323"/>
      <c r="AN11" s="87" t="str">
        <f t="shared" si="0"/>
        <v>Добавить наименование признака дифференциации</v>
      </c>
      <c r="AQ11" s="17">
        <v>0</v>
      </c>
    </row>
    <row r="12" spans="5:43" ht="14.25" hidden="1" customHeight="1">
      <c r="E12" s="1112"/>
      <c r="F12" s="1111"/>
      <c r="T12" s="329" t="s">
        <v>416</v>
      </c>
      <c r="AN12" s="87" t="str">
        <f t="shared" si="0"/>
        <v>Добавить централизованную систему для дифференциации</v>
      </c>
      <c r="AQ12" s="75">
        <v>0</v>
      </c>
    </row>
    <row r="13" spans="5:43" ht="14.25" hidden="1" customHeight="1">
      <c r="E13" s="1111"/>
      <c r="T13" s="329" t="s">
        <v>417</v>
      </c>
      <c r="AN13" s="87" t="str">
        <f t="shared" si="0"/>
        <v>Добавить территорию для дифференциации</v>
      </c>
      <c r="AQ13" s="75">
        <v>0</v>
      </c>
    </row>
    <row r="14" spans="5:43" ht="14.25" hidden="1" customHeight="1">
      <c r="AQ14" s="17">
        <v>0</v>
      </c>
    </row>
    <row r="15" spans="5:43" ht="14.25" hidden="1" customHeight="1">
      <c r="AC15" s="330"/>
      <c r="AD15" s="330"/>
      <c r="AE15" s="331"/>
      <c r="AF15" s="1110"/>
      <c r="AG15" s="1109" t="s">
        <v>66</v>
      </c>
      <c r="AH15" s="1110"/>
      <c r="AI15" s="1109" t="s">
        <v>66</v>
      </c>
      <c r="AQ15" s="17">
        <v>0</v>
      </c>
    </row>
    <row r="16" spans="5:43" ht="14.25" hidden="1" customHeight="1">
      <c r="AC16" s="330"/>
      <c r="AD16" s="330"/>
      <c r="AE16" s="316" t="str">
        <f>AF15&amp;"-"&amp;AH15</f>
        <v>-</v>
      </c>
      <c r="AF16" s="1109"/>
      <c r="AG16" s="1109"/>
      <c r="AH16" s="1109"/>
      <c r="AI16" s="1109"/>
      <c r="AQ16" s="17">
        <v>0</v>
      </c>
    </row>
    <row r="17" spans="15:43" ht="14.25" hidden="1" customHeight="1">
      <c r="AQ17" s="17">
        <v>0</v>
      </c>
    </row>
    <row r="18" spans="15:43" ht="22.5" hidden="1" customHeight="1">
      <c r="O18" s="332" t="s">
        <v>418</v>
      </c>
      <c r="Y18" s="332"/>
      <c r="AA18" s="332"/>
      <c r="AF18" s="332"/>
      <c r="AH18" s="332"/>
      <c r="AQ18" s="37">
        <v>0</v>
      </c>
    </row>
    <row r="19" spans="15:43" ht="14.25" hidden="1" customHeight="1">
      <c r="AQ19" s="37">
        <v>0</v>
      </c>
    </row>
    <row r="20" spans="15:43" ht="12" hidden="1" customHeight="1">
      <c r="O20" s="306" t="s">
        <v>419</v>
      </c>
      <c r="T20" s="37" t="s">
        <v>420</v>
      </c>
      <c r="Z20" s="126" t="s">
        <v>421</v>
      </c>
      <c r="AB20" s="126" t="s">
        <v>422</v>
      </c>
      <c r="AC20" s="37" t="s">
        <v>420</v>
      </c>
      <c r="AG20" s="126" t="s">
        <v>423</v>
      </c>
      <c r="AI20" s="126" t="s">
        <v>422</v>
      </c>
      <c r="AQ20" s="37">
        <v>0</v>
      </c>
    </row>
    <row r="21" spans="15:43" ht="14.25" hidden="1" customHeight="1">
      <c r="AQ21" s="17">
        <v>0</v>
      </c>
    </row>
    <row r="22" spans="15:43" ht="14.25" hidden="1" customHeight="1">
      <c r="AQ22" s="17">
        <v>0</v>
      </c>
    </row>
    <row r="23" spans="15:43" ht="14.65" customHeight="1">
      <c r="Q23" s="333"/>
      <c r="R23" s="333"/>
      <c r="S23" s="334"/>
      <c r="T23" s="38"/>
      <c r="U23" s="38"/>
      <c r="AQ23" s="17">
        <v>14</v>
      </c>
    </row>
    <row r="24" spans="15:43" ht="14.65" customHeight="1">
      <c r="Q24" s="333"/>
      <c r="R24" s="333"/>
      <c r="S24" s="10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093"/>
      <c r="U24" s="1093"/>
      <c r="V24" s="1093"/>
      <c r="W24" s="1093"/>
      <c r="X24" s="1093"/>
      <c r="Y24" s="1093"/>
      <c r="Z24" s="1093"/>
      <c r="AA24" s="1093"/>
      <c r="AB24" s="1093"/>
      <c r="AC24" s="1093"/>
      <c r="AD24" s="1093"/>
      <c r="AE24" s="1093"/>
      <c r="AF24" s="1093"/>
      <c r="AG24" s="1093"/>
      <c r="AH24" s="1093"/>
      <c r="AQ24" s="17">
        <v>14</v>
      </c>
    </row>
    <row r="25" spans="15:43"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Q25" s="17">
        <v>14</v>
      </c>
    </row>
    <row r="26" spans="15:43" ht="14.25" hidden="1" customHeight="1">
      <c r="Q26" s="333"/>
      <c r="R26" s="333"/>
      <c r="S26" s="334"/>
      <c r="T26" s="38"/>
      <c r="U26" s="38"/>
      <c r="V26" s="335"/>
      <c r="W26" s="335"/>
      <c r="X26" s="335"/>
      <c r="Y26" s="335"/>
      <c r="Z26" s="335"/>
      <c r="AA26" s="335"/>
      <c r="AB26" s="335"/>
      <c r="AC26" s="335"/>
      <c r="AD26" s="335"/>
      <c r="AE26" s="335"/>
      <c r="AF26" s="335"/>
      <c r="AG26" s="335"/>
      <c r="AH26" s="335"/>
      <c r="AI26" s="335"/>
      <c r="AQ26" s="17">
        <v>0</v>
      </c>
    </row>
    <row r="27" spans="15:43" ht="25.5" hidden="1" customHeight="1">
      <c r="S27" s="1103" t="s">
        <v>42</v>
      </c>
      <c r="T27" s="1103"/>
      <c r="U27" s="337"/>
      <c r="V27" s="1105" t="str">
        <f>IF(TITLE_NAME_OR_PR_CHANGE="",IF(TITLE_NAME_OR_PR="","",TITLE_NAME_OR_PR),TITLE_NAME_OR_PR_CHANGE)</f>
        <v/>
      </c>
      <c r="W27" s="1105"/>
      <c r="X27" s="1105"/>
      <c r="Y27" s="1105"/>
      <c r="Z27" s="1105"/>
      <c r="AA27" s="1105"/>
      <c r="AC27" s="1105" t="str">
        <f>IF(TITLE_NAME_OR_PR_CHANGE="",IF(TITLE_NAME_OR_PR="","",TITLE_NAME_OR_PR),TITLE_NAME_OR_PR_CHANGE)</f>
        <v/>
      </c>
      <c r="AD27" s="1105"/>
      <c r="AE27" s="1105"/>
      <c r="AF27" s="1105"/>
      <c r="AG27" s="1105"/>
      <c r="AH27" s="1105"/>
      <c r="AQ27" s="111">
        <v>0</v>
      </c>
    </row>
    <row r="28" spans="15:43" ht="18.75" hidden="1" customHeight="1">
      <c r="S28" s="1103" t="s">
        <v>424</v>
      </c>
      <c r="T28" s="1103"/>
      <c r="U28" s="337"/>
      <c r="V28" s="1104" t="str">
        <f>IF(TITLE_DATE_PR_CHANGE="",IF(TITLE_DATE_PR="","",TITLE_DATE_PR),TITLE_DATE_PR_CHANGE)</f>
        <v/>
      </c>
      <c r="W28" s="1104"/>
      <c r="X28" s="1104"/>
      <c r="Y28" s="1104"/>
      <c r="Z28" s="1104"/>
      <c r="AA28" s="1104"/>
      <c r="AC28" s="1104" t="str">
        <f>IF(TITLE_DATE_PR_CHANGE="",IF(TITLE_DATE_PR="","",TITLE_DATE_PR),TITLE_DATE_PR_CHANGE)</f>
        <v/>
      </c>
      <c r="AD28" s="1104"/>
      <c r="AE28" s="1104"/>
      <c r="AF28" s="1104"/>
      <c r="AG28" s="1104"/>
      <c r="AH28" s="1104"/>
      <c r="AQ28" s="111">
        <v>0</v>
      </c>
    </row>
    <row r="29" spans="15:43" ht="18.75" hidden="1" customHeight="1">
      <c r="S29" s="1103" t="s">
        <v>425</v>
      </c>
      <c r="T29" s="1103"/>
      <c r="U29" s="337"/>
      <c r="V29" s="1105" t="str">
        <f>IF(TITLE_NUMBER_PR_CHANGE="",IF(TITLE_NUMBER_PR="","",TITLE_NUMBER_PR),TITLE_NUMBER_PR_CHANGE)</f>
        <v/>
      </c>
      <c r="W29" s="1105"/>
      <c r="X29" s="1105"/>
      <c r="Y29" s="1105"/>
      <c r="Z29" s="1105"/>
      <c r="AA29" s="1105"/>
      <c r="AC29" s="1105" t="str">
        <f>IF(TITLE_NUMBER_PR_CHANGE="",IF(TITLE_NUMBER_PR="","",TITLE_NUMBER_PR),TITLE_NUMBER_PR_CHANGE)</f>
        <v/>
      </c>
      <c r="AD29" s="1105"/>
      <c r="AE29" s="1105"/>
      <c r="AF29" s="1105"/>
      <c r="AG29" s="1105"/>
      <c r="AH29" s="1105"/>
      <c r="AQ29" s="111">
        <v>0</v>
      </c>
    </row>
    <row r="30" spans="15:43" ht="18.75" hidden="1" customHeight="1">
      <c r="S30" s="1103" t="s">
        <v>43</v>
      </c>
      <c r="T30" s="1103"/>
      <c r="U30" s="337"/>
      <c r="V30" s="1105" t="str">
        <f>IF(TITLE_IST_PUB_CHANGE="",IF(TITLE_IST_PUB="","",TITLE_IST_PUB),TITLE_IST_PUB_CHANGE)</f>
        <v/>
      </c>
      <c r="W30" s="1105"/>
      <c r="X30" s="1105"/>
      <c r="Y30" s="1105"/>
      <c r="Z30" s="1105"/>
      <c r="AA30" s="1105"/>
      <c r="AC30" s="1105" t="str">
        <f>IF(TITLE_IST_PUB_CHANGE="",IF(TITLE_IST_PUB="","",TITLE_IST_PUB),TITLE_IST_PUB_CHANGE)</f>
        <v/>
      </c>
      <c r="AD30" s="1105"/>
      <c r="AE30" s="1105"/>
      <c r="AF30" s="1105"/>
      <c r="AG30" s="1105"/>
      <c r="AH30" s="1105"/>
      <c r="AQ30" s="111">
        <v>0</v>
      </c>
    </row>
    <row r="31" spans="15:43" ht="14.25" hidden="1" customHeight="1">
      <c r="Q31" s="333"/>
      <c r="R31" s="333"/>
      <c r="S31" s="334"/>
      <c r="T31" s="38"/>
      <c r="U31" s="38"/>
      <c r="V31" s="335"/>
      <c r="W31" s="335"/>
      <c r="X31" s="335"/>
      <c r="Y31" s="335"/>
      <c r="Z31" s="335"/>
      <c r="AA31" s="335"/>
      <c r="AB31" s="335"/>
      <c r="AC31" s="335"/>
      <c r="AD31" s="335"/>
      <c r="AE31" s="335"/>
      <c r="AF31" s="335"/>
      <c r="AG31" s="335"/>
      <c r="AH31" s="335"/>
      <c r="AI31" s="335"/>
      <c r="AQ31" s="17">
        <v>0</v>
      </c>
    </row>
    <row r="32" spans="15:43" ht="18.75" hidden="1" customHeight="1">
      <c r="S32" s="1103" t="s">
        <v>426</v>
      </c>
      <c r="T32" s="1103"/>
      <c r="U32" s="337"/>
      <c r="V32" s="1104" t="str">
        <f>IF(TITLE_DATE_PR_CHANGE="",IF(TITLE_DATE_PR="","",TITLE_DATE_PR),TITLE_DATE_PR_CHANGE)</f>
        <v/>
      </c>
      <c r="W32" s="1104"/>
      <c r="X32" s="1104"/>
      <c r="Y32" s="1104"/>
      <c r="Z32" s="1104"/>
      <c r="AA32" s="1104"/>
      <c r="AC32" s="1104" t="str">
        <f>IF(TITLE_DATE_PR_CHANGE="",IF(TITLE_DATE_PR="","",TITLE_DATE_PR),TITLE_DATE_PR_CHANGE)</f>
        <v/>
      </c>
      <c r="AD32" s="1104"/>
      <c r="AE32" s="1104"/>
      <c r="AF32" s="1104"/>
      <c r="AG32" s="1104"/>
      <c r="AH32" s="1104"/>
      <c r="AQ32" s="111">
        <v>0</v>
      </c>
    </row>
    <row r="33" spans="1:43" ht="18.75" hidden="1" customHeight="1">
      <c r="S33" s="1103" t="s">
        <v>427</v>
      </c>
      <c r="T33" s="1103"/>
      <c r="U33" s="337"/>
      <c r="V33" s="1105" t="str">
        <f>IF(TITLE_NUMBER_PR_CHANGE="",IF(TITLE_NUMBER_PR="","",TITLE_NUMBER_PR),TITLE_NUMBER_PR_CHANGE)</f>
        <v/>
      </c>
      <c r="W33" s="1105"/>
      <c r="X33" s="1105"/>
      <c r="Y33" s="1105"/>
      <c r="Z33" s="1105"/>
      <c r="AA33" s="1105"/>
      <c r="AC33" s="1105" t="str">
        <f>IF(TITLE_NUMBER_PR_CHANGE="",IF(TITLE_NUMBER_PR="","",TITLE_NUMBER_PR),TITLE_NUMBER_PR_CHANGE)</f>
        <v/>
      </c>
      <c r="AD33" s="1105"/>
      <c r="AE33" s="1105"/>
      <c r="AF33" s="1105"/>
      <c r="AG33" s="1105"/>
      <c r="AH33" s="1105"/>
      <c r="AQ33" s="111">
        <v>0</v>
      </c>
    </row>
    <row r="34" spans="1:43" ht="1.1499999999999999" customHeight="1">
      <c r="AB34" s="75" t="s">
        <v>428</v>
      </c>
      <c r="AI34" s="75" t="s">
        <v>428</v>
      </c>
      <c r="AQ34" s="111">
        <v>1</v>
      </c>
    </row>
    <row r="35" spans="1:43" ht="14.65" customHeight="1">
      <c r="Q35" s="333"/>
      <c r="R35" s="333"/>
      <c r="S35" s="334"/>
      <c r="T35" s="38"/>
      <c r="U35" s="339"/>
      <c r="V35" s="1123"/>
      <c r="W35" s="1123"/>
      <c r="X35" s="1123"/>
      <c r="Y35" s="1123"/>
      <c r="Z35" s="1123"/>
      <c r="AA35" s="1123"/>
      <c r="AB35" s="1123"/>
      <c r="AC35" s="1123"/>
      <c r="AD35" s="1123"/>
      <c r="AE35" s="1123"/>
      <c r="AF35" s="1123"/>
      <c r="AG35" s="1123"/>
      <c r="AH35" s="1123"/>
      <c r="AI35" s="1123"/>
      <c r="AQ35" s="17">
        <v>14</v>
      </c>
    </row>
    <row r="36" spans="1:43"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t="s">
        <v>302</v>
      </c>
      <c r="AQ36" s="17">
        <v>14</v>
      </c>
    </row>
    <row r="37" spans="1:43" ht="14.65" customHeight="1">
      <c r="Q37" s="333"/>
      <c r="R37" s="333"/>
      <c r="S37" s="1124" t="s">
        <v>88</v>
      </c>
      <c r="T37" s="1073" t="s">
        <v>429</v>
      </c>
      <c r="U37" s="341"/>
      <c r="V37" s="1125" t="s">
        <v>430</v>
      </c>
      <c r="W37" s="1126"/>
      <c r="X37" s="1126"/>
      <c r="Y37" s="1126"/>
      <c r="Z37" s="1126"/>
      <c r="AA37" s="1127"/>
      <c r="AB37" s="1128" t="s">
        <v>431</v>
      </c>
      <c r="AC37" s="1125" t="s">
        <v>430</v>
      </c>
      <c r="AD37" s="1126"/>
      <c r="AE37" s="1126"/>
      <c r="AF37" s="1126"/>
      <c r="AG37" s="1126"/>
      <c r="AH37" s="1127"/>
      <c r="AI37" s="1128" t="s">
        <v>432</v>
      </c>
      <c r="AJ37" s="1131" t="s">
        <v>433</v>
      </c>
      <c r="AK37" s="995"/>
      <c r="AQ37" s="17">
        <v>14</v>
      </c>
    </row>
    <row r="38" spans="1:43" ht="35.65" customHeight="1">
      <c r="Q38" s="333"/>
      <c r="R38" s="333"/>
      <c r="S38" s="1124"/>
      <c r="T38" s="1073"/>
      <c r="U38" s="343"/>
      <c r="V38" s="161" t="s">
        <v>490</v>
      </c>
      <c r="W38" s="977" t="s">
        <v>436</v>
      </c>
      <c r="X38" s="976"/>
      <c r="Y38" s="977" t="s">
        <v>437</v>
      </c>
      <c r="Z38" s="982"/>
      <c r="AA38" s="976"/>
      <c r="AB38" s="1129"/>
      <c r="AC38" s="161" t="s">
        <v>490</v>
      </c>
      <c r="AD38" s="977" t="s">
        <v>436</v>
      </c>
      <c r="AE38" s="976"/>
      <c r="AF38" s="977" t="s">
        <v>437</v>
      </c>
      <c r="AG38" s="982"/>
      <c r="AH38" s="976"/>
      <c r="AI38" s="1129"/>
      <c r="AJ38" s="1132"/>
      <c r="AK38" s="995"/>
      <c r="AQ38" s="17">
        <v>34</v>
      </c>
    </row>
    <row r="39" spans="1:43" ht="35.65" customHeight="1">
      <c r="B39" s="126" t="s">
        <v>138</v>
      </c>
      <c r="C39" s="126" t="s">
        <v>139</v>
      </c>
      <c r="D39" s="126" t="s">
        <v>140</v>
      </c>
      <c r="E39" s="306" t="s">
        <v>438</v>
      </c>
      <c r="F39" s="306" t="s">
        <v>439</v>
      </c>
      <c r="G39" s="306" t="s">
        <v>440</v>
      </c>
      <c r="I39" s="306" t="s">
        <v>491</v>
      </c>
      <c r="J39" s="306" t="s">
        <v>443</v>
      </c>
      <c r="K39" s="306" t="s">
        <v>492</v>
      </c>
      <c r="L39" s="306" t="s">
        <v>419</v>
      </c>
      <c r="Q39" s="333"/>
      <c r="R39" s="333"/>
      <c r="S39" s="1124"/>
      <c r="T39" s="1073"/>
      <c r="U39" s="344"/>
      <c r="V39" s="161" t="s">
        <v>493</v>
      </c>
      <c r="W39" s="134" t="s">
        <v>494</v>
      </c>
      <c r="X39" s="134" t="s">
        <v>495</v>
      </c>
      <c r="Y39" s="134" t="s">
        <v>447</v>
      </c>
      <c r="Z39" s="1078" t="s">
        <v>448</v>
      </c>
      <c r="AA39" s="1092"/>
      <c r="AB39" s="1130"/>
      <c r="AC39" s="161" t="s">
        <v>493</v>
      </c>
      <c r="AD39" s="134" t="s">
        <v>494</v>
      </c>
      <c r="AE39" s="134" t="s">
        <v>495</v>
      </c>
      <c r="AF39" s="134" t="s">
        <v>447</v>
      </c>
      <c r="AG39" s="1078" t="s">
        <v>448</v>
      </c>
      <c r="AH39" s="1092"/>
      <c r="AI39" s="1130"/>
      <c r="AJ39" s="1133"/>
      <c r="AK39" s="995"/>
      <c r="AQ39" s="17">
        <v>34</v>
      </c>
    </row>
    <row r="40" spans="1:43" ht="0" hidden="1" customHeight="1">
      <c r="Q40" s="347"/>
      <c r="R40" s="348">
        <v>1</v>
      </c>
      <c r="S40" s="349" t="s">
        <v>110</v>
      </c>
      <c r="T40" s="350" t="s">
        <v>111</v>
      </c>
      <c r="U40" s="351" t="str">
        <f ca="1">OFFSET(U40,0,-1)</f>
        <v>2</v>
      </c>
      <c r="V40" s="352">
        <f ca="1">OFFSET(V40,0,-1)+1</f>
        <v>3</v>
      </c>
      <c r="W40" s="352">
        <f ca="1">OFFSET(W40,0,-1)+1</f>
        <v>4</v>
      </c>
      <c r="X40" s="352">
        <f ca="1">OFFSET(X40,0,-1)+1</f>
        <v>5</v>
      </c>
      <c r="Y40" s="352">
        <f ca="1">OFFSET(Y40,0,-1)+1</f>
        <v>6</v>
      </c>
      <c r="Z40" s="1122">
        <f ca="1">OFFSET(Z40,0,-1)+1</f>
        <v>7</v>
      </c>
      <c r="AA40" s="1122"/>
      <c r="AB40" s="352">
        <f ca="1">OFFSET(AB40,0,-2)+1</f>
        <v>8</v>
      </c>
      <c r="AC40" s="352">
        <f ca="1">OFFSET(AC40,0,-1)+1</f>
        <v>9</v>
      </c>
      <c r="AD40" s="352">
        <f ca="1">OFFSET(AD40,0,-1)+1</f>
        <v>10</v>
      </c>
      <c r="AE40" s="352">
        <f ca="1">OFFSET(AE40,0,-1)+1</f>
        <v>11</v>
      </c>
      <c r="AF40" s="352">
        <f ca="1">OFFSET(AF40,0,-1)+1</f>
        <v>12</v>
      </c>
      <c r="AG40" s="1122">
        <f ca="1">OFFSET(AG40,0,-1)+1</f>
        <v>13</v>
      </c>
      <c r="AH40" s="1122"/>
      <c r="AI40" s="352">
        <f ca="1">OFFSET(AI40,0,-2)+1</f>
        <v>14</v>
      </c>
      <c r="AJ40" s="351">
        <f ca="1">OFFSET(AJ40,0,-1)</f>
        <v>14</v>
      </c>
      <c r="AK40" s="352">
        <f ca="1">OFFSET(AK40,0,-1)+1</f>
        <v>15</v>
      </c>
      <c r="AQ40" s="258">
        <v>0</v>
      </c>
    </row>
    <row r="41" spans="1:43" ht="24" customHeight="1">
      <c r="A41" s="353" t="s">
        <v>237</v>
      </c>
      <c r="E41" s="1111">
        <v>1</v>
      </c>
      <c r="R41" s="294"/>
      <c r="S41" s="295">
        <f>INDEX(PT_DIFFERENTIATION_NUM_NTAR,MATCH(A41,PT_DIFFERENTIATION_NTAR_ID,0))</f>
        <v>0</v>
      </c>
      <c r="T41" s="296" t="s">
        <v>126</v>
      </c>
      <c r="U41" s="297"/>
      <c r="V41" s="1106"/>
      <c r="W41" s="1107"/>
      <c r="X41" s="1107"/>
      <c r="Y41" s="1107"/>
      <c r="Z41" s="1107"/>
      <c r="AA41" s="1107"/>
      <c r="AB41" s="1108"/>
      <c r="AC41" s="1106" t="str">
        <f>INDEX(PT_DIFFERENTIATION_NTAR,MATCH(A41,PT_DIFFERENTIATION_NTAR_ID,0))</f>
        <v/>
      </c>
      <c r="AD41" s="1107"/>
      <c r="AE41" s="1107"/>
      <c r="AF41" s="1107"/>
      <c r="AG41" s="1107"/>
      <c r="AH41" s="1107"/>
      <c r="AI41" s="1107"/>
      <c r="AJ41" s="1108"/>
      <c r="AK41"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7" t="str">
        <f t="shared" ref="AN41:AN53" si="1">IF(T41="","",T41)</f>
        <v>Наименование тарифа</v>
      </c>
      <c r="AQ41" s="17">
        <v>23</v>
      </c>
    </row>
    <row r="42" spans="1:43" ht="24" customHeight="1">
      <c r="A42" s="353" t="s">
        <v>237</v>
      </c>
      <c r="B42" s="353" t="s">
        <v>238</v>
      </c>
      <c r="E42" s="1112"/>
      <c r="F42" s="1111">
        <v>1</v>
      </c>
      <c r="Q42" s="300"/>
      <c r="R42" s="301"/>
      <c r="S42" s="295" t="str">
        <f>INDEX(PT_DIFFERENTIATION_NUM_TER,MATCH(B42,PT_DIFFERENTIATION_TER_ID,0))</f>
        <v>.</v>
      </c>
      <c r="T42" s="302" t="s">
        <v>398</v>
      </c>
      <c r="U42" s="297"/>
      <c r="V42" s="1106"/>
      <c r="W42" s="1107"/>
      <c r="X42" s="1107"/>
      <c r="Y42" s="1107"/>
      <c r="Z42" s="1107"/>
      <c r="AA42" s="1107"/>
      <c r="AB42" s="1108"/>
      <c r="AC42" s="1106" t="str">
        <f>INDEX(PT_DIFFERENTIATION_TER,MATCH(B42,PT_DIFFERENTIATION_TER_ID,0))</f>
        <v/>
      </c>
      <c r="AD42" s="1107"/>
      <c r="AE42" s="1107"/>
      <c r="AF42" s="1107"/>
      <c r="AG42" s="1107"/>
      <c r="AH42" s="1107"/>
      <c r="AI42" s="1107"/>
      <c r="AJ42" s="1108"/>
      <c r="AK42" s="299" t="s">
        <v>399</v>
      </c>
      <c r="AN42" s="87" t="str">
        <f t="shared" si="1"/>
        <v>Территория действия тарифа</v>
      </c>
      <c r="AQ42" s="17">
        <v>23</v>
      </c>
    </row>
    <row r="43" spans="1:43" ht="24" customHeight="1">
      <c r="A43" s="353" t="s">
        <v>237</v>
      </c>
      <c r="B43" s="353" t="s">
        <v>238</v>
      </c>
      <c r="C43" s="353" t="s">
        <v>239</v>
      </c>
      <c r="E43" s="1112"/>
      <c r="F43" s="1112"/>
      <c r="G43" s="1111">
        <v>1</v>
      </c>
      <c r="Q43" s="300"/>
      <c r="R43" s="301"/>
      <c r="S43" s="295" t="str">
        <f>INDEX(PT_DIFFERENTIATION_NUM_CS,MATCH(C43,PT_DIFFERENTIATION_CS_ID,0))</f>
        <v>..</v>
      </c>
      <c r="T43" s="303" t="s">
        <v>482</v>
      </c>
      <c r="U43" s="297"/>
      <c r="V43" s="1106"/>
      <c r="W43" s="1107"/>
      <c r="X43" s="1107"/>
      <c r="Y43" s="1107"/>
      <c r="Z43" s="1107"/>
      <c r="AA43" s="1107"/>
      <c r="AB43" s="1108"/>
      <c r="AC43" s="1106" t="str">
        <f>INDEX(PT_DIFFERENTIATION_CS,MATCH(C43,PT_DIFFERENTIATION_CS_ID,0))</f>
        <v/>
      </c>
      <c r="AD43" s="1107"/>
      <c r="AE43" s="1107"/>
      <c r="AF43" s="1107"/>
      <c r="AG43" s="1107"/>
      <c r="AH43" s="1107"/>
      <c r="AI43" s="1107"/>
      <c r="AJ43" s="1108"/>
      <c r="AK43" s="299" t="s">
        <v>483</v>
      </c>
      <c r="AN43" s="87" t="str">
        <f t="shared" si="1"/>
        <v>Наименование централизованной системы холодного водоснабжения</v>
      </c>
      <c r="AQ43" s="17">
        <v>23</v>
      </c>
    </row>
    <row r="44" spans="1:43" ht="24" customHeight="1">
      <c r="A44" s="353" t="s">
        <v>237</v>
      </c>
      <c r="B44" s="353" t="s">
        <v>238</v>
      </c>
      <c r="C44" s="353" t="s">
        <v>239</v>
      </c>
      <c r="D44" s="353" t="s">
        <v>498</v>
      </c>
      <c r="E44" s="1112"/>
      <c r="F44" s="1112"/>
      <c r="G44" s="1112"/>
      <c r="H44" s="1112"/>
      <c r="I44" s="1113" t="str">
        <f>S43&amp;".1"</f>
        <v>...1</v>
      </c>
      <c r="P44" s="1115">
        <v>1</v>
      </c>
      <c r="R44" s="307"/>
      <c r="S44" s="295" t="str">
        <f>$I44</f>
        <v>...1</v>
      </c>
      <c r="T44" s="308" t="s">
        <v>484</v>
      </c>
      <c r="U44" s="297"/>
      <c r="V44" s="1179"/>
      <c r="W44" s="1180"/>
      <c r="X44" s="1180"/>
      <c r="Y44" s="1180"/>
      <c r="Z44" s="1180"/>
      <c r="AA44" s="1180"/>
      <c r="AB44" s="1181"/>
      <c r="AC44" s="1182"/>
      <c r="AD44" s="1183"/>
      <c r="AE44" s="1183"/>
      <c r="AF44" s="1183"/>
      <c r="AG44" s="1183"/>
      <c r="AH44" s="1183"/>
      <c r="AI44" s="1183"/>
      <c r="AJ44" s="1184"/>
      <c r="AK44" s="299" t="s">
        <v>485</v>
      </c>
      <c r="AN44" s="87" t="str">
        <f t="shared" si="1"/>
        <v>Наименование признака дифференциации</v>
      </c>
      <c r="AQ44" s="17">
        <v>23</v>
      </c>
    </row>
    <row r="45" spans="1:43" ht="24" customHeight="1">
      <c r="A45" s="353" t="s">
        <v>237</v>
      </c>
      <c r="B45" s="353" t="s">
        <v>238</v>
      </c>
      <c r="C45" s="353" t="s">
        <v>239</v>
      </c>
      <c r="D45" s="353" t="s">
        <v>498</v>
      </c>
      <c r="E45" s="1112"/>
      <c r="F45" s="1112"/>
      <c r="G45" s="1112"/>
      <c r="H45" s="1112"/>
      <c r="I45" s="1114"/>
      <c r="J45" s="1113" t="str">
        <f>I44&amp;".1"</f>
        <v>...1.1</v>
      </c>
      <c r="L45" s="306" t="s">
        <v>407</v>
      </c>
      <c r="P45" s="964"/>
      <c r="Q45" s="1115">
        <v>1</v>
      </c>
      <c r="R45" s="309"/>
      <c r="S45" s="295" t="str">
        <f>$J45</f>
        <v>...1.1</v>
      </c>
      <c r="T45" s="310" t="s">
        <v>408</v>
      </c>
      <c r="U45" s="297"/>
      <c r="V45" s="1100"/>
      <c r="W45" s="1101"/>
      <c r="X45" s="1101"/>
      <c r="Y45" s="1101"/>
      <c r="Z45" s="1101"/>
      <c r="AA45" s="1101"/>
      <c r="AB45" s="1102"/>
      <c r="AC45" s="1100"/>
      <c r="AD45" s="1101"/>
      <c r="AE45" s="1101"/>
      <c r="AF45" s="1101"/>
      <c r="AG45" s="1101"/>
      <c r="AH45" s="1101"/>
      <c r="AI45" s="1101"/>
      <c r="AJ45" s="1102"/>
      <c r="AK45" s="386" t="s">
        <v>486</v>
      </c>
      <c r="AN45" s="87" t="str">
        <f t="shared" si="1"/>
        <v>Группа потребителей</v>
      </c>
      <c r="AQ45" s="17">
        <v>23</v>
      </c>
    </row>
    <row r="46" spans="1:43" ht="24" customHeight="1">
      <c r="A46" s="353" t="s">
        <v>237</v>
      </c>
      <c r="B46" s="353" t="s">
        <v>238</v>
      </c>
      <c r="C46" s="353" t="s">
        <v>239</v>
      </c>
      <c r="D46" s="353" t="s">
        <v>498</v>
      </c>
      <c r="E46" s="1112"/>
      <c r="F46" s="1112"/>
      <c r="G46" s="1112"/>
      <c r="H46" s="1112"/>
      <c r="I46" s="1114"/>
      <c r="J46" s="1114"/>
      <c r="K46" s="1113" t="str">
        <f>J45&amp;".1"</f>
        <v>...1.1.1</v>
      </c>
      <c r="P46" s="964"/>
      <c r="Q46" s="964"/>
      <c r="R46" s="309">
        <v>1</v>
      </c>
      <c r="S46" s="295" t="str">
        <f>$K46</f>
        <v>...1.1.1</v>
      </c>
      <c r="T46" s="426"/>
      <c r="U46" s="297"/>
      <c r="V46" s="312"/>
      <c r="W46" s="312"/>
      <c r="X46" s="314"/>
      <c r="Y46" s="1116"/>
      <c r="Z46" s="1004" t="s">
        <v>66</v>
      </c>
      <c r="AA46" s="1116"/>
      <c r="AB46" s="1004" t="s">
        <v>66</v>
      </c>
      <c r="AC46" s="312"/>
      <c r="AD46" s="312"/>
      <c r="AE46" s="314"/>
      <c r="AF46" s="1116"/>
      <c r="AG46" s="1004" t="s">
        <v>66</v>
      </c>
      <c r="AH46" s="1118"/>
      <c r="AI46" s="1004" t="s">
        <v>66</v>
      </c>
      <c r="AJ46" s="427"/>
      <c r="AK46"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 t="e">
        <f ca="1">STRCHECKDATE(V47:AJ47)</f>
        <v>#NAME?</v>
      </c>
      <c r="AN46" s="87" t="str">
        <f t="shared" si="1"/>
        <v/>
      </c>
      <c r="AQ46" s="17">
        <v>23</v>
      </c>
    </row>
    <row r="47" spans="1:43" ht="0" hidden="1" customHeight="1">
      <c r="A47" s="353" t="s">
        <v>237</v>
      </c>
      <c r="B47" s="353" t="s">
        <v>238</v>
      </c>
      <c r="C47" s="353" t="s">
        <v>239</v>
      </c>
      <c r="D47" s="353" t="s">
        <v>498</v>
      </c>
      <c r="E47" s="1112"/>
      <c r="F47" s="1112"/>
      <c r="G47" s="1112"/>
      <c r="H47" s="1112"/>
      <c r="I47" s="1114"/>
      <c r="J47" s="1114"/>
      <c r="K47" s="1113"/>
      <c r="P47" s="964"/>
      <c r="Q47" s="964"/>
      <c r="R47" s="309"/>
      <c r="S47" s="278"/>
      <c r="T47" s="297"/>
      <c r="U47" s="297"/>
      <c r="V47" s="313"/>
      <c r="W47" s="313"/>
      <c r="X47" s="316" t="str">
        <f>Y46&amp;"-"&amp;AA46</f>
        <v>-</v>
      </c>
      <c r="Y47" s="1117"/>
      <c r="Z47" s="1004"/>
      <c r="AA47" s="1117"/>
      <c r="AB47" s="1004"/>
      <c r="AC47" s="313"/>
      <c r="AD47" s="313"/>
      <c r="AE47" s="316" t="str">
        <f>AF46&amp;"-"&amp;AH46</f>
        <v>-</v>
      </c>
      <c r="AF47" s="1117"/>
      <c r="AG47" s="1004"/>
      <c r="AH47" s="1119"/>
      <c r="AI47" s="1004"/>
      <c r="AJ47" s="428"/>
      <c r="AK47" s="1185"/>
      <c r="AN47" s="87" t="str">
        <f t="shared" si="1"/>
        <v/>
      </c>
      <c r="AQ47" s="17">
        <v>0</v>
      </c>
    </row>
    <row r="48" spans="1:43" ht="21" customHeight="1">
      <c r="A48" s="353" t="s">
        <v>237</v>
      </c>
      <c r="B48" s="353" t="s">
        <v>238</v>
      </c>
      <c r="C48" s="353" t="s">
        <v>239</v>
      </c>
      <c r="D48" s="353" t="s">
        <v>498</v>
      </c>
      <c r="E48" s="1112"/>
      <c r="F48" s="1112"/>
      <c r="G48" s="1112"/>
      <c r="H48" s="1112"/>
      <c r="I48" s="1114"/>
      <c r="J48" s="1113"/>
      <c r="P48" s="964"/>
      <c r="Q48" s="964"/>
      <c r="R48" s="307"/>
      <c r="S48" s="318"/>
      <c r="T48" s="321" t="s">
        <v>487</v>
      </c>
      <c r="U48" s="117"/>
      <c r="V48" s="117"/>
      <c r="W48" s="117"/>
      <c r="X48" s="117"/>
      <c r="Y48" s="117"/>
      <c r="Z48" s="117"/>
      <c r="AA48" s="117"/>
      <c r="AB48" s="117"/>
      <c r="AC48" s="117"/>
      <c r="AD48" s="117"/>
      <c r="AE48" s="117"/>
      <c r="AF48" s="117"/>
      <c r="AG48" s="117"/>
      <c r="AH48" s="117"/>
      <c r="AI48" s="117"/>
      <c r="AJ48" s="117"/>
      <c r="AK48" s="299" t="s">
        <v>488</v>
      </c>
      <c r="AN48" s="87" t="str">
        <f t="shared" si="1"/>
        <v>Добавить значение признака дифференциации</v>
      </c>
      <c r="AQ48" s="17">
        <v>20</v>
      </c>
    </row>
    <row r="49" spans="1:43" ht="21.95" customHeight="1">
      <c r="A49" s="353" t="s">
        <v>237</v>
      </c>
      <c r="B49" s="353" t="s">
        <v>238</v>
      </c>
      <c r="C49" s="353" t="s">
        <v>239</v>
      </c>
      <c r="D49" s="353" t="s">
        <v>498</v>
      </c>
      <c r="E49" s="1112"/>
      <c r="F49" s="1112"/>
      <c r="G49" s="1112"/>
      <c r="H49" s="1112"/>
      <c r="I49" s="1113"/>
      <c r="P49" s="964"/>
      <c r="R49" s="307"/>
      <c r="S49" s="318"/>
      <c r="T49" s="324" t="s">
        <v>413</v>
      </c>
      <c r="U49" s="117"/>
      <c r="V49" s="117"/>
      <c r="W49" s="117"/>
      <c r="X49" s="117"/>
      <c r="Y49" s="117"/>
      <c r="Z49" s="117"/>
      <c r="AA49" s="117"/>
      <c r="AB49" s="322"/>
      <c r="AC49" s="117"/>
      <c r="AD49" s="117"/>
      <c r="AE49" s="117"/>
      <c r="AF49" s="117"/>
      <c r="AG49" s="117"/>
      <c r="AH49" s="117"/>
      <c r="AI49" s="322"/>
      <c r="AJ49" s="117"/>
      <c r="AK49" s="429"/>
      <c r="AN49" s="87" t="str">
        <f t="shared" si="1"/>
        <v>Добавить группу потребителей</v>
      </c>
      <c r="AQ49" s="17">
        <v>21</v>
      </c>
    </row>
    <row r="50" spans="1:43" ht="21.95" customHeight="1">
      <c r="A50" s="353" t="s">
        <v>237</v>
      </c>
      <c r="B50" s="353" t="s">
        <v>238</v>
      </c>
      <c r="C50" s="353" t="s">
        <v>239</v>
      </c>
      <c r="D50" s="353" t="s">
        <v>498</v>
      </c>
      <c r="E50" s="1112"/>
      <c r="F50" s="1112"/>
      <c r="G50" s="1112"/>
      <c r="H50" s="1111"/>
      <c r="R50" s="294"/>
      <c r="S50" s="318"/>
      <c r="T50" s="430" t="s">
        <v>489</v>
      </c>
      <c r="U50" s="117"/>
      <c r="V50" s="117"/>
      <c r="W50" s="117"/>
      <c r="X50" s="117"/>
      <c r="Y50" s="117"/>
      <c r="Z50" s="117"/>
      <c r="AA50" s="117"/>
      <c r="AB50" s="322"/>
      <c r="AC50" s="117"/>
      <c r="AD50" s="117"/>
      <c r="AE50" s="117"/>
      <c r="AF50" s="117"/>
      <c r="AG50" s="117"/>
      <c r="AH50" s="117"/>
      <c r="AI50" s="322"/>
      <c r="AJ50" s="117"/>
      <c r="AK50" s="323"/>
      <c r="AN50" s="87" t="str">
        <f t="shared" si="1"/>
        <v>Добавить наименование признака дифференциации</v>
      </c>
      <c r="AQ50" s="17">
        <v>21</v>
      </c>
    </row>
    <row r="51" spans="1:43" ht="0" hidden="1" customHeight="1">
      <c r="A51" s="72" t="s">
        <v>237</v>
      </c>
      <c r="B51" s="72" t="s">
        <v>238</v>
      </c>
      <c r="E51" s="1112"/>
      <c r="F51" s="1111"/>
      <c r="T51" s="329" t="s">
        <v>416</v>
      </c>
      <c r="AN51" s="87" t="str">
        <f t="shared" si="1"/>
        <v>Добавить централизованную систему для дифференциации</v>
      </c>
      <c r="AQ51" s="75">
        <v>0</v>
      </c>
    </row>
    <row r="52" spans="1:43" ht="0" hidden="1" customHeight="1">
      <c r="A52" s="72" t="s">
        <v>237</v>
      </c>
      <c r="E52" s="1111"/>
      <c r="T52" s="329" t="s">
        <v>417</v>
      </c>
      <c r="AN52" s="87" t="str">
        <f t="shared" si="1"/>
        <v>Добавить территорию для дифференциации</v>
      </c>
      <c r="AQ52" s="75">
        <v>0</v>
      </c>
    </row>
    <row r="53" spans="1:43" ht="0" hidden="1" customHeight="1">
      <c r="T53" s="329" t="s">
        <v>449</v>
      </c>
      <c r="AN53" s="87" t="str">
        <f t="shared" si="1"/>
        <v>Добавить наименование тарифа</v>
      </c>
      <c r="AQ53" s="75">
        <v>0</v>
      </c>
    </row>
    <row r="54" spans="1:43" ht="11.45" customHeight="1">
      <c r="AQ54" s="17">
        <v>11</v>
      </c>
    </row>
    <row r="55" spans="1:43" ht="14.65" customHeight="1">
      <c r="T55" s="964"/>
      <c r="U55" s="964"/>
      <c r="V55" s="964"/>
      <c r="W55" s="964"/>
      <c r="X55" s="964"/>
      <c r="Y55" s="964"/>
      <c r="Z55" s="964"/>
      <c r="AA55" s="964"/>
      <c r="AB55" s="964"/>
      <c r="AC55" s="964"/>
      <c r="AD55" s="964"/>
      <c r="AE55" s="964"/>
      <c r="AF55" s="964"/>
      <c r="AG55" s="964"/>
      <c r="AH55" s="964"/>
      <c r="AI55" s="964"/>
      <c r="AJ55" s="964"/>
      <c r="AK55" s="964"/>
      <c r="AQ55" s="17">
        <v>14</v>
      </c>
    </row>
    <row r="56" spans="1:43" ht="14.65" customHeight="1">
      <c r="AQ56" s="17">
        <v>14</v>
      </c>
    </row>
    <row r="57" spans="1:43" ht="14.65" customHeight="1">
      <c r="T57" s="964"/>
      <c r="U57" s="964"/>
      <c r="V57" s="964"/>
      <c r="W57" s="964"/>
      <c r="X57" s="964"/>
      <c r="Y57" s="964"/>
      <c r="Z57" s="964"/>
      <c r="AA57" s="964"/>
      <c r="AB57" s="964"/>
      <c r="AC57" s="964"/>
      <c r="AD57" s="964"/>
      <c r="AE57" s="964"/>
      <c r="AF57" s="964"/>
      <c r="AG57" s="964"/>
      <c r="AH57" s="964"/>
      <c r="AI57" s="964"/>
      <c r="AJ57" s="964"/>
      <c r="AK57" s="964"/>
      <c r="AQ57" s="17">
        <v>14</v>
      </c>
    </row>
    <row r="58" spans="1:43" ht="22.5" hidden="1" customHeight="1">
      <c r="A58" s="37" t="s">
        <v>82</v>
      </c>
      <c r="B58" s="37">
        <v>0</v>
      </c>
      <c r="C58" s="37">
        <v>0</v>
      </c>
      <c r="D58" s="37">
        <v>0</v>
      </c>
      <c r="E58" s="37">
        <v>0</v>
      </c>
      <c r="F58" s="37">
        <v>0</v>
      </c>
      <c r="G58" s="37">
        <v>0</v>
      </c>
      <c r="H58" s="37">
        <v>0</v>
      </c>
      <c r="I58" s="37">
        <v>0</v>
      </c>
      <c r="J58" s="37">
        <v>0</v>
      </c>
      <c r="K58" s="37">
        <v>0</v>
      </c>
      <c r="L58" s="240">
        <v>0</v>
      </c>
      <c r="M58" s="41">
        <v>0</v>
      </c>
      <c r="N58" s="41">
        <v>0</v>
      </c>
      <c r="O58" s="41">
        <v>0</v>
      </c>
      <c r="P58" s="356">
        <v>3</v>
      </c>
      <c r="Q58" s="357">
        <v>3</v>
      </c>
      <c r="R58" s="357">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5">
        <v>10</v>
      </c>
      <c r="AM58" s="75">
        <v>10</v>
      </c>
      <c r="AN58" s="75">
        <v>10</v>
      </c>
      <c r="AO58" s="75">
        <v>10</v>
      </c>
      <c r="AP58" s="75">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1F04-D4B8-2DFB-8DDA-BE7B8F38624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c r="AQ1" s="17" t="s">
        <v>14</v>
      </c>
    </row>
    <row r="2" spans="5:43" ht="23.25" hidden="1" customHeight="1">
      <c r="E2" s="1111">
        <v>1</v>
      </c>
      <c r="R2" s="294"/>
      <c r="S2" s="295" t="e">
        <f>INDEX(PT_DIFFERENTIATION_NUM_NTAR,MATCH(A2,PT_DIFFERENTIATION_NTAR_ID,0))</f>
        <v>#N/A</v>
      </c>
      <c r="T2" s="296" t="s">
        <v>126</v>
      </c>
      <c r="U2" s="297"/>
      <c r="V2" s="1106"/>
      <c r="W2" s="1107"/>
      <c r="X2" s="1107"/>
      <c r="Y2" s="1107"/>
      <c r="Z2" s="1107"/>
      <c r="AA2" s="1107"/>
      <c r="AB2" s="1108"/>
      <c r="AC2" s="1106" t="e">
        <f>INDEX(PT_DIFFERENTIATION_NTAR,MATCH(A2,PT_DIFFERENTIATION_NTAR_ID,0))</f>
        <v>#N/A</v>
      </c>
      <c r="AD2" s="1107"/>
      <c r="AE2" s="1107"/>
      <c r="AF2" s="1107"/>
      <c r="AG2" s="1107"/>
      <c r="AH2" s="1107"/>
      <c r="AI2" s="1107"/>
      <c r="AJ2" s="1108"/>
      <c r="AK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7" t="str">
        <f t="shared" ref="AN2:AN13" si="0">IF(T2="","",T2)</f>
        <v>Наименование тарифа</v>
      </c>
      <c r="AQ2" s="17">
        <v>0</v>
      </c>
    </row>
    <row r="3" spans="5:43"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8"/>
      <c r="AC3" s="1106" t="e">
        <f>INDEX(PT_DIFFERENTIATION_TER,MATCH(B3,PT_DIFFERENTIATION_TER_ID,0))</f>
        <v>#N/A</v>
      </c>
      <c r="AD3" s="1107"/>
      <c r="AE3" s="1107"/>
      <c r="AF3" s="1107"/>
      <c r="AG3" s="1107"/>
      <c r="AH3" s="1107"/>
      <c r="AI3" s="1107"/>
      <c r="AJ3" s="1108"/>
      <c r="AK3" s="299" t="s">
        <v>399</v>
      </c>
      <c r="AN3" s="87" t="str">
        <f t="shared" si="0"/>
        <v>Территория действия тарифа</v>
      </c>
      <c r="AQ3" s="17">
        <v>0</v>
      </c>
    </row>
    <row r="4" spans="5:43" ht="23.25" hidden="1" customHeight="1">
      <c r="E4" s="1112"/>
      <c r="F4" s="1112"/>
      <c r="G4" s="1111">
        <v>1</v>
      </c>
      <c r="Q4" s="300"/>
      <c r="R4" s="301"/>
      <c r="S4" s="295" t="e">
        <f>INDEX(PT_DIFFERENTIATION_NUM_CS,MATCH(C4,PT_DIFFERENTIATION_CS_ID,0))</f>
        <v>#N/A</v>
      </c>
      <c r="T4" s="303" t="s">
        <v>482</v>
      </c>
      <c r="U4" s="297"/>
      <c r="V4" s="1106"/>
      <c r="W4" s="1107"/>
      <c r="X4" s="1107"/>
      <c r="Y4" s="1107"/>
      <c r="Z4" s="1107"/>
      <c r="AA4" s="1107"/>
      <c r="AB4" s="1108"/>
      <c r="AC4" s="1106" t="e">
        <f>INDEX(PT_DIFFERENTIATION_CS,MATCH(C4,PT_DIFFERENTIATION_CS_ID,0))</f>
        <v>#N/A</v>
      </c>
      <c r="AD4" s="1107"/>
      <c r="AE4" s="1107"/>
      <c r="AF4" s="1107"/>
      <c r="AG4" s="1107"/>
      <c r="AH4" s="1107"/>
      <c r="AI4" s="1107"/>
      <c r="AJ4" s="1108"/>
      <c r="AK4" s="299" t="s">
        <v>483</v>
      </c>
      <c r="AN4" s="87" t="str">
        <f t="shared" si="0"/>
        <v>Наименование централизованной системы холодного водоснабжения</v>
      </c>
      <c r="AQ4" s="17">
        <v>0</v>
      </c>
    </row>
    <row r="5" spans="5:43"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1"/>
      <c r="AC5" s="1182"/>
      <c r="AD5" s="1183"/>
      <c r="AE5" s="1183"/>
      <c r="AF5" s="1183"/>
      <c r="AG5" s="1183"/>
      <c r="AH5" s="1183"/>
      <c r="AI5" s="1183"/>
      <c r="AJ5" s="1184"/>
      <c r="AK5" s="299" t="s">
        <v>485</v>
      </c>
      <c r="AN5" s="87" t="str">
        <f t="shared" si="0"/>
        <v>Наименование признака дифференциации</v>
      </c>
      <c r="AQ5" s="17">
        <v>0</v>
      </c>
    </row>
    <row r="6" spans="5:43"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2"/>
      <c r="AC6" s="1100"/>
      <c r="AD6" s="1101"/>
      <c r="AE6" s="1101"/>
      <c r="AF6" s="1101"/>
      <c r="AG6" s="1101"/>
      <c r="AH6" s="1101"/>
      <c r="AI6" s="1101"/>
      <c r="AJ6" s="1102"/>
      <c r="AK6" s="386" t="s">
        <v>486</v>
      </c>
      <c r="AN6" s="87" t="str">
        <f t="shared" si="0"/>
        <v>Группа потребителей</v>
      </c>
      <c r="AQ6" s="17">
        <v>0</v>
      </c>
    </row>
    <row r="7" spans="5:43" ht="23.25" hidden="1" customHeight="1">
      <c r="E7" s="1112"/>
      <c r="F7" s="1112"/>
      <c r="G7" s="1112"/>
      <c r="H7" s="1112"/>
      <c r="I7" s="1114"/>
      <c r="J7" s="1114"/>
      <c r="K7" s="1113" t="e">
        <f>J6&amp;".1"</f>
        <v>#N/A</v>
      </c>
      <c r="P7" s="964"/>
      <c r="Q7" s="964"/>
      <c r="R7" s="309">
        <v>1</v>
      </c>
      <c r="S7" s="295" t="e">
        <f>$K7</f>
        <v>#N/A</v>
      </c>
      <c r="T7" s="426"/>
      <c r="U7" s="297"/>
      <c r="V7" s="312"/>
      <c r="W7" s="312"/>
      <c r="X7" s="314"/>
      <c r="Y7" s="1116"/>
      <c r="Z7" s="1004" t="s">
        <v>66</v>
      </c>
      <c r="AA7" s="1116"/>
      <c r="AB7" s="1004" t="s">
        <v>66</v>
      </c>
      <c r="AC7" s="312"/>
      <c r="AD7" s="312"/>
      <c r="AE7" s="314"/>
      <c r="AF7" s="1116"/>
      <c r="AG7" s="1004" t="s">
        <v>66</v>
      </c>
      <c r="AH7" s="1118"/>
      <c r="AI7" s="1004" t="s">
        <v>66</v>
      </c>
      <c r="AJ7" s="427"/>
      <c r="AK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 t="e">
        <f ca="1">STRCHECKDATE(V8:AJ8)</f>
        <v>#NAME?</v>
      </c>
      <c r="AN7" s="87" t="str">
        <f t="shared" si="0"/>
        <v/>
      </c>
      <c r="AQ7" s="17">
        <v>0</v>
      </c>
    </row>
    <row r="8" spans="5:43" ht="14.25" hidden="1" customHeight="1">
      <c r="E8" s="1112"/>
      <c r="F8" s="1112"/>
      <c r="G8" s="1112"/>
      <c r="H8" s="1112"/>
      <c r="I8" s="1114"/>
      <c r="J8" s="1114"/>
      <c r="K8" s="1113"/>
      <c r="P8" s="964"/>
      <c r="Q8" s="964"/>
      <c r="R8" s="309"/>
      <c r="S8" s="278"/>
      <c r="T8" s="297"/>
      <c r="U8" s="297"/>
      <c r="V8" s="313"/>
      <c r="W8" s="313"/>
      <c r="X8" s="316" t="str">
        <f>Y7&amp;"-"&amp;AA7</f>
        <v>-</v>
      </c>
      <c r="Y8" s="1117"/>
      <c r="Z8" s="1004"/>
      <c r="AA8" s="1117"/>
      <c r="AB8" s="1004"/>
      <c r="AC8" s="313"/>
      <c r="AD8" s="313"/>
      <c r="AE8" s="316" t="str">
        <f>AF7&amp;"-"&amp;AH7</f>
        <v>-</v>
      </c>
      <c r="AF8" s="1117"/>
      <c r="AG8" s="1004"/>
      <c r="AH8" s="1119"/>
      <c r="AI8" s="1004"/>
      <c r="AJ8" s="428"/>
      <c r="AK8" s="1185"/>
      <c r="AN8" s="87" t="str">
        <f t="shared" si="0"/>
        <v/>
      </c>
      <c r="AQ8" s="17">
        <v>0</v>
      </c>
    </row>
    <row r="9" spans="5:43"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299" t="s">
        <v>488</v>
      </c>
      <c r="AN9" s="87" t="str">
        <f t="shared" si="0"/>
        <v>Добавить значение признака дифференциации</v>
      </c>
      <c r="AQ9" s="17">
        <v>0</v>
      </c>
    </row>
    <row r="10" spans="5:43" ht="21" hidden="1" customHeight="1">
      <c r="E10" s="1112"/>
      <c r="F10" s="1112"/>
      <c r="G10" s="1112"/>
      <c r="H10" s="1112"/>
      <c r="I10" s="1113"/>
      <c r="P10" s="964"/>
      <c r="R10" s="307"/>
      <c r="S10" s="318"/>
      <c r="T10" s="324" t="s">
        <v>413</v>
      </c>
      <c r="U10" s="117"/>
      <c r="V10" s="117"/>
      <c r="W10" s="117"/>
      <c r="X10" s="117"/>
      <c r="Y10" s="117"/>
      <c r="Z10" s="117"/>
      <c r="AA10" s="117"/>
      <c r="AB10" s="322"/>
      <c r="AC10" s="117"/>
      <c r="AD10" s="117"/>
      <c r="AE10" s="117"/>
      <c r="AF10" s="117"/>
      <c r="AG10" s="117"/>
      <c r="AH10" s="117"/>
      <c r="AI10" s="322"/>
      <c r="AJ10" s="117"/>
      <c r="AK10" s="429"/>
      <c r="AN10" s="87" t="str">
        <f t="shared" si="0"/>
        <v>Добавить группу потребителей</v>
      </c>
      <c r="AQ10" s="17">
        <v>0</v>
      </c>
    </row>
    <row r="11" spans="5:43" ht="21" hidden="1" customHeight="1">
      <c r="E11" s="1112"/>
      <c r="F11" s="1112"/>
      <c r="G11" s="1112"/>
      <c r="H11" s="1111"/>
      <c r="R11" s="294"/>
      <c r="S11" s="318"/>
      <c r="T11" s="430" t="s">
        <v>489</v>
      </c>
      <c r="U11" s="117"/>
      <c r="V11" s="117"/>
      <c r="W11" s="117"/>
      <c r="X11" s="117"/>
      <c r="Y11" s="117"/>
      <c r="Z11" s="117"/>
      <c r="AA11" s="117"/>
      <c r="AB11" s="322"/>
      <c r="AC11" s="117"/>
      <c r="AD11" s="117"/>
      <c r="AE11" s="117"/>
      <c r="AF11" s="117"/>
      <c r="AG11" s="117"/>
      <c r="AH11" s="117"/>
      <c r="AI11" s="322"/>
      <c r="AJ11" s="117"/>
      <c r="AK11" s="323"/>
      <c r="AN11" s="87" t="str">
        <f t="shared" si="0"/>
        <v>Добавить наименование признака дифференциации</v>
      </c>
      <c r="AQ11" s="17">
        <v>0</v>
      </c>
    </row>
    <row r="12" spans="5:43" ht="14.25" hidden="1" customHeight="1">
      <c r="E12" s="1112"/>
      <c r="F12" s="1111"/>
      <c r="T12" s="329" t="s">
        <v>416</v>
      </c>
      <c r="AN12" s="87" t="str">
        <f t="shared" si="0"/>
        <v>Добавить централизованную систему для дифференциации</v>
      </c>
      <c r="AQ12" s="75">
        <v>0</v>
      </c>
    </row>
    <row r="13" spans="5:43" ht="14.25" hidden="1" customHeight="1">
      <c r="E13" s="1111"/>
      <c r="T13" s="329" t="s">
        <v>417</v>
      </c>
      <c r="AN13" s="87" t="str">
        <f t="shared" si="0"/>
        <v>Добавить территорию для дифференциации</v>
      </c>
      <c r="AQ13" s="75">
        <v>0</v>
      </c>
    </row>
    <row r="14" spans="5:43" ht="14.25" hidden="1" customHeight="1">
      <c r="AQ14" s="17">
        <v>0</v>
      </c>
    </row>
    <row r="15" spans="5:43" ht="14.25" hidden="1" customHeight="1">
      <c r="AC15" s="330"/>
      <c r="AD15" s="330"/>
      <c r="AE15" s="331"/>
      <c r="AF15" s="1110"/>
      <c r="AG15" s="1109" t="s">
        <v>66</v>
      </c>
      <c r="AH15" s="1110"/>
      <c r="AI15" s="1109" t="s">
        <v>66</v>
      </c>
      <c r="AQ15" s="17">
        <v>0</v>
      </c>
    </row>
    <row r="16" spans="5:43" ht="14.25" hidden="1" customHeight="1">
      <c r="AC16" s="330"/>
      <c r="AD16" s="330"/>
      <c r="AE16" s="316" t="str">
        <f>AF15&amp;"-"&amp;AH15</f>
        <v>-</v>
      </c>
      <c r="AF16" s="1109"/>
      <c r="AG16" s="1109"/>
      <c r="AH16" s="1109"/>
      <c r="AI16" s="1109"/>
      <c r="AQ16" s="17">
        <v>0</v>
      </c>
    </row>
    <row r="17" spans="15:43" ht="14.25" hidden="1" customHeight="1">
      <c r="AQ17" s="17">
        <v>0</v>
      </c>
    </row>
    <row r="18" spans="15:43" ht="22.5" hidden="1" customHeight="1">
      <c r="O18" s="332" t="s">
        <v>418</v>
      </c>
      <c r="Y18" s="332"/>
      <c r="AA18" s="332"/>
      <c r="AF18" s="332"/>
      <c r="AH18" s="332"/>
      <c r="AQ18" s="37">
        <v>0</v>
      </c>
    </row>
    <row r="19" spans="15:43" ht="14.25" hidden="1" customHeight="1">
      <c r="AQ19" s="37">
        <v>0</v>
      </c>
    </row>
    <row r="20" spans="15:43" ht="12" hidden="1" customHeight="1">
      <c r="O20" s="306" t="s">
        <v>419</v>
      </c>
      <c r="T20" s="37" t="s">
        <v>420</v>
      </c>
      <c r="Z20" s="126" t="s">
        <v>421</v>
      </c>
      <c r="AB20" s="126" t="s">
        <v>422</v>
      </c>
      <c r="AC20" s="37" t="s">
        <v>420</v>
      </c>
      <c r="AG20" s="126" t="s">
        <v>423</v>
      </c>
      <c r="AI20" s="126" t="s">
        <v>422</v>
      </c>
      <c r="AQ20" s="37">
        <v>0</v>
      </c>
    </row>
    <row r="21" spans="15:43" ht="14.25" hidden="1" customHeight="1">
      <c r="AQ21" s="17">
        <v>0</v>
      </c>
    </row>
    <row r="22" spans="15:43" ht="14.25" hidden="1" customHeight="1">
      <c r="AQ22" s="17">
        <v>0</v>
      </c>
    </row>
    <row r="23" spans="15:43" ht="14.65" customHeight="1">
      <c r="Q23" s="333"/>
      <c r="R23" s="333"/>
      <c r="S23" s="334"/>
      <c r="T23" s="38"/>
      <c r="U23" s="38"/>
      <c r="AQ23" s="17">
        <v>14</v>
      </c>
    </row>
    <row r="24" spans="15:43" ht="14.65" customHeight="1">
      <c r="Q24" s="333"/>
      <c r="R24" s="333"/>
      <c r="S24" s="10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093"/>
      <c r="U24" s="1093"/>
      <c r="V24" s="1093"/>
      <c r="W24" s="1093"/>
      <c r="X24" s="1093"/>
      <c r="Y24" s="1093"/>
      <c r="Z24" s="1093"/>
      <c r="AA24" s="1093"/>
      <c r="AB24" s="1093"/>
      <c r="AC24" s="1093"/>
      <c r="AD24" s="1093"/>
      <c r="AE24" s="1093"/>
      <c r="AF24" s="1093"/>
      <c r="AG24" s="1093"/>
      <c r="AH24" s="1093"/>
      <c r="AQ24" s="17">
        <v>14</v>
      </c>
    </row>
    <row r="25" spans="15:43"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Q25" s="17">
        <v>14</v>
      </c>
    </row>
    <row r="26" spans="15:43" ht="14.25" hidden="1" customHeight="1">
      <c r="Q26" s="333"/>
      <c r="R26" s="333"/>
      <c r="S26" s="334"/>
      <c r="T26" s="38"/>
      <c r="U26" s="38"/>
      <c r="V26" s="335"/>
      <c r="W26" s="335"/>
      <c r="X26" s="335"/>
      <c r="Y26" s="335"/>
      <c r="Z26" s="335"/>
      <c r="AA26" s="335"/>
      <c r="AB26" s="335"/>
      <c r="AC26" s="335"/>
      <c r="AD26" s="335"/>
      <c r="AE26" s="335"/>
      <c r="AF26" s="335"/>
      <c r="AG26" s="335"/>
      <c r="AH26" s="335"/>
      <c r="AI26" s="335"/>
      <c r="AQ26" s="17">
        <v>0</v>
      </c>
    </row>
    <row r="27" spans="15:43" ht="25.5" hidden="1" customHeight="1">
      <c r="S27" s="1103" t="s">
        <v>42</v>
      </c>
      <c r="T27" s="1103"/>
      <c r="U27" s="337"/>
      <c r="V27" s="1105" t="str">
        <f>IF(TITLE_NAME_OR_PR_CHANGE="",IF(TITLE_NAME_OR_PR="","",TITLE_NAME_OR_PR),TITLE_NAME_OR_PR_CHANGE)</f>
        <v/>
      </c>
      <c r="W27" s="1105"/>
      <c r="X27" s="1105"/>
      <c r="Y27" s="1105"/>
      <c r="Z27" s="1105"/>
      <c r="AA27" s="1105"/>
      <c r="AC27" s="1105" t="str">
        <f>IF(TITLE_NAME_OR_PR_CHANGE="",IF(TITLE_NAME_OR_PR="","",TITLE_NAME_OR_PR),TITLE_NAME_OR_PR_CHANGE)</f>
        <v/>
      </c>
      <c r="AD27" s="1105"/>
      <c r="AE27" s="1105"/>
      <c r="AF27" s="1105"/>
      <c r="AG27" s="1105"/>
      <c r="AH27" s="1105"/>
      <c r="AQ27" s="111">
        <v>0</v>
      </c>
    </row>
    <row r="28" spans="15:43" ht="18.75" hidden="1" customHeight="1">
      <c r="S28" s="1103" t="s">
        <v>424</v>
      </c>
      <c r="T28" s="1103"/>
      <c r="U28" s="337"/>
      <c r="V28" s="1104" t="str">
        <f>IF(TITLE_DATE_PR_CHANGE="",IF(TITLE_DATE_PR="","",TITLE_DATE_PR),TITLE_DATE_PR_CHANGE)</f>
        <v/>
      </c>
      <c r="W28" s="1104"/>
      <c r="X28" s="1104"/>
      <c r="Y28" s="1104"/>
      <c r="Z28" s="1104"/>
      <c r="AA28" s="1104"/>
      <c r="AC28" s="1104" t="str">
        <f>IF(TITLE_DATE_PR_CHANGE="",IF(TITLE_DATE_PR="","",TITLE_DATE_PR),TITLE_DATE_PR_CHANGE)</f>
        <v/>
      </c>
      <c r="AD28" s="1104"/>
      <c r="AE28" s="1104"/>
      <c r="AF28" s="1104"/>
      <c r="AG28" s="1104"/>
      <c r="AH28" s="1104"/>
      <c r="AQ28" s="111">
        <v>0</v>
      </c>
    </row>
    <row r="29" spans="15:43" ht="18.75" hidden="1" customHeight="1">
      <c r="S29" s="1103" t="s">
        <v>425</v>
      </c>
      <c r="T29" s="1103"/>
      <c r="U29" s="337"/>
      <c r="V29" s="1105" t="str">
        <f>IF(TITLE_NUMBER_PR_CHANGE="",IF(TITLE_NUMBER_PR="","",TITLE_NUMBER_PR),TITLE_NUMBER_PR_CHANGE)</f>
        <v/>
      </c>
      <c r="W29" s="1105"/>
      <c r="X29" s="1105"/>
      <c r="Y29" s="1105"/>
      <c r="Z29" s="1105"/>
      <c r="AA29" s="1105"/>
      <c r="AC29" s="1105" t="str">
        <f>IF(TITLE_NUMBER_PR_CHANGE="",IF(TITLE_NUMBER_PR="","",TITLE_NUMBER_PR),TITLE_NUMBER_PR_CHANGE)</f>
        <v/>
      </c>
      <c r="AD29" s="1105"/>
      <c r="AE29" s="1105"/>
      <c r="AF29" s="1105"/>
      <c r="AG29" s="1105"/>
      <c r="AH29" s="1105"/>
      <c r="AQ29" s="111">
        <v>0</v>
      </c>
    </row>
    <row r="30" spans="15:43" ht="18.75" hidden="1" customHeight="1">
      <c r="S30" s="1103" t="s">
        <v>43</v>
      </c>
      <c r="T30" s="1103"/>
      <c r="U30" s="337"/>
      <c r="V30" s="1105" t="str">
        <f>IF(TITLE_IST_PUB_CHANGE="",IF(TITLE_IST_PUB="","",TITLE_IST_PUB),TITLE_IST_PUB_CHANGE)</f>
        <v/>
      </c>
      <c r="W30" s="1105"/>
      <c r="X30" s="1105"/>
      <c r="Y30" s="1105"/>
      <c r="Z30" s="1105"/>
      <c r="AA30" s="1105"/>
      <c r="AC30" s="1105" t="str">
        <f>IF(TITLE_IST_PUB_CHANGE="",IF(TITLE_IST_PUB="","",TITLE_IST_PUB),TITLE_IST_PUB_CHANGE)</f>
        <v/>
      </c>
      <c r="AD30" s="1105"/>
      <c r="AE30" s="1105"/>
      <c r="AF30" s="1105"/>
      <c r="AG30" s="1105"/>
      <c r="AH30" s="1105"/>
      <c r="AQ30" s="111">
        <v>0</v>
      </c>
    </row>
    <row r="31" spans="15:43" ht="14.25" hidden="1" customHeight="1">
      <c r="Q31" s="333"/>
      <c r="R31" s="333"/>
      <c r="S31" s="334"/>
      <c r="T31" s="38"/>
      <c r="U31" s="38"/>
      <c r="V31" s="335"/>
      <c r="W31" s="335"/>
      <c r="X31" s="335"/>
      <c r="Y31" s="335"/>
      <c r="Z31" s="335"/>
      <c r="AA31" s="335"/>
      <c r="AB31" s="335"/>
      <c r="AC31" s="335"/>
      <c r="AD31" s="335"/>
      <c r="AE31" s="335"/>
      <c r="AF31" s="335"/>
      <c r="AG31" s="335"/>
      <c r="AH31" s="335"/>
      <c r="AI31" s="335"/>
      <c r="AQ31" s="17">
        <v>0</v>
      </c>
    </row>
    <row r="32" spans="15:43" ht="18.75" hidden="1" customHeight="1">
      <c r="S32" s="1103" t="s">
        <v>426</v>
      </c>
      <c r="T32" s="1103"/>
      <c r="U32" s="337"/>
      <c r="V32" s="1104" t="str">
        <f>IF(TITLE_DATE_PR_CHANGE="",IF(TITLE_DATE_PR="","",TITLE_DATE_PR),TITLE_DATE_PR_CHANGE)</f>
        <v/>
      </c>
      <c r="W32" s="1104"/>
      <c r="X32" s="1104"/>
      <c r="Y32" s="1104"/>
      <c r="Z32" s="1104"/>
      <c r="AA32" s="1104"/>
      <c r="AC32" s="1104" t="str">
        <f>IF(TITLE_DATE_PR_CHANGE="",IF(TITLE_DATE_PR="","",TITLE_DATE_PR),TITLE_DATE_PR_CHANGE)</f>
        <v/>
      </c>
      <c r="AD32" s="1104"/>
      <c r="AE32" s="1104"/>
      <c r="AF32" s="1104"/>
      <c r="AG32" s="1104"/>
      <c r="AH32" s="1104"/>
      <c r="AQ32" s="111">
        <v>0</v>
      </c>
    </row>
    <row r="33" spans="1:43" ht="18.75" hidden="1" customHeight="1">
      <c r="S33" s="1103" t="s">
        <v>427</v>
      </c>
      <c r="T33" s="1103"/>
      <c r="U33" s="337"/>
      <c r="V33" s="1105" t="str">
        <f>IF(TITLE_NUMBER_PR_CHANGE="",IF(TITLE_NUMBER_PR="","",TITLE_NUMBER_PR),TITLE_NUMBER_PR_CHANGE)</f>
        <v/>
      </c>
      <c r="W33" s="1105"/>
      <c r="X33" s="1105"/>
      <c r="Y33" s="1105"/>
      <c r="Z33" s="1105"/>
      <c r="AA33" s="1105"/>
      <c r="AC33" s="1105" t="str">
        <f>IF(TITLE_NUMBER_PR_CHANGE="",IF(TITLE_NUMBER_PR="","",TITLE_NUMBER_PR),TITLE_NUMBER_PR_CHANGE)</f>
        <v/>
      </c>
      <c r="AD33" s="1105"/>
      <c r="AE33" s="1105"/>
      <c r="AF33" s="1105"/>
      <c r="AG33" s="1105"/>
      <c r="AH33" s="1105"/>
      <c r="AQ33" s="111">
        <v>0</v>
      </c>
    </row>
    <row r="34" spans="1:43" ht="1.1499999999999999" customHeight="1">
      <c r="AB34" s="75" t="s">
        <v>428</v>
      </c>
      <c r="AI34" s="75" t="s">
        <v>428</v>
      </c>
      <c r="AQ34" s="111">
        <v>1</v>
      </c>
    </row>
    <row r="35" spans="1:43" ht="14.65" customHeight="1">
      <c r="Q35" s="333"/>
      <c r="R35" s="333"/>
      <c r="S35" s="334"/>
      <c r="T35" s="38"/>
      <c r="U35" s="339"/>
      <c r="V35" s="1123"/>
      <c r="W35" s="1123"/>
      <c r="X35" s="1123"/>
      <c r="Y35" s="1123"/>
      <c r="Z35" s="1123"/>
      <c r="AA35" s="1123"/>
      <c r="AB35" s="1123"/>
      <c r="AC35" s="1123"/>
      <c r="AD35" s="1123"/>
      <c r="AE35" s="1123"/>
      <c r="AF35" s="1123"/>
      <c r="AG35" s="1123"/>
      <c r="AH35" s="1123"/>
      <c r="AI35" s="1123"/>
      <c r="AQ35" s="17">
        <v>14</v>
      </c>
    </row>
    <row r="36" spans="1:43"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t="s">
        <v>302</v>
      </c>
      <c r="AQ36" s="17">
        <v>14</v>
      </c>
    </row>
    <row r="37" spans="1:43" ht="14.65" customHeight="1">
      <c r="Q37" s="333"/>
      <c r="R37" s="333"/>
      <c r="S37" s="1124" t="s">
        <v>88</v>
      </c>
      <c r="T37" s="1073" t="s">
        <v>429</v>
      </c>
      <c r="U37" s="341"/>
      <c r="V37" s="1125" t="s">
        <v>430</v>
      </c>
      <c r="W37" s="1126"/>
      <c r="X37" s="1126"/>
      <c r="Y37" s="1126"/>
      <c r="Z37" s="1126"/>
      <c r="AA37" s="1127"/>
      <c r="AB37" s="1128" t="s">
        <v>431</v>
      </c>
      <c r="AC37" s="1125" t="s">
        <v>430</v>
      </c>
      <c r="AD37" s="1126"/>
      <c r="AE37" s="1126"/>
      <c r="AF37" s="1126"/>
      <c r="AG37" s="1126"/>
      <c r="AH37" s="1127"/>
      <c r="AI37" s="1128" t="s">
        <v>432</v>
      </c>
      <c r="AJ37" s="1131" t="s">
        <v>433</v>
      </c>
      <c r="AK37" s="995"/>
      <c r="AQ37" s="17">
        <v>14</v>
      </c>
    </row>
    <row r="38" spans="1:43" ht="35.65" customHeight="1">
      <c r="Q38" s="333"/>
      <c r="R38" s="333"/>
      <c r="S38" s="1124"/>
      <c r="T38" s="1073"/>
      <c r="U38" s="343"/>
      <c r="V38" s="161" t="s">
        <v>490</v>
      </c>
      <c r="W38" s="977" t="s">
        <v>436</v>
      </c>
      <c r="X38" s="976"/>
      <c r="Y38" s="977" t="s">
        <v>437</v>
      </c>
      <c r="Z38" s="982"/>
      <c r="AA38" s="976"/>
      <c r="AB38" s="1129"/>
      <c r="AC38" s="161" t="s">
        <v>490</v>
      </c>
      <c r="AD38" s="977" t="s">
        <v>436</v>
      </c>
      <c r="AE38" s="976"/>
      <c r="AF38" s="977" t="s">
        <v>437</v>
      </c>
      <c r="AG38" s="982"/>
      <c r="AH38" s="976"/>
      <c r="AI38" s="1129"/>
      <c r="AJ38" s="1132"/>
      <c r="AK38" s="995"/>
      <c r="AQ38" s="17">
        <v>34</v>
      </c>
    </row>
    <row r="39" spans="1:43" ht="35.65" customHeight="1">
      <c r="B39" s="126" t="s">
        <v>138</v>
      </c>
      <c r="C39" s="126" t="s">
        <v>139</v>
      </c>
      <c r="D39" s="126" t="s">
        <v>140</v>
      </c>
      <c r="E39" s="306" t="s">
        <v>438</v>
      </c>
      <c r="F39" s="306" t="s">
        <v>439</v>
      </c>
      <c r="G39" s="306" t="s">
        <v>440</v>
      </c>
      <c r="I39" s="306" t="s">
        <v>491</v>
      </c>
      <c r="J39" s="306" t="s">
        <v>443</v>
      </c>
      <c r="K39" s="306" t="s">
        <v>492</v>
      </c>
      <c r="L39" s="306" t="s">
        <v>419</v>
      </c>
      <c r="Q39" s="333"/>
      <c r="R39" s="333"/>
      <c r="S39" s="1124"/>
      <c r="T39" s="1073"/>
      <c r="U39" s="344"/>
      <c r="V39" s="161" t="s">
        <v>493</v>
      </c>
      <c r="W39" s="134" t="s">
        <v>494</v>
      </c>
      <c r="X39" s="134" t="s">
        <v>495</v>
      </c>
      <c r="Y39" s="134" t="s">
        <v>447</v>
      </c>
      <c r="Z39" s="1078" t="s">
        <v>448</v>
      </c>
      <c r="AA39" s="1092"/>
      <c r="AB39" s="1130"/>
      <c r="AC39" s="161" t="s">
        <v>493</v>
      </c>
      <c r="AD39" s="134" t="s">
        <v>494</v>
      </c>
      <c r="AE39" s="134" t="s">
        <v>495</v>
      </c>
      <c r="AF39" s="134" t="s">
        <v>447</v>
      </c>
      <c r="AG39" s="1078" t="s">
        <v>448</v>
      </c>
      <c r="AH39" s="1092"/>
      <c r="AI39" s="1130"/>
      <c r="AJ39" s="1133"/>
      <c r="AK39" s="995"/>
      <c r="AQ39" s="17">
        <v>34</v>
      </c>
    </row>
    <row r="40" spans="1:43" ht="0" hidden="1" customHeight="1">
      <c r="Q40" s="347"/>
      <c r="R40" s="348">
        <v>1</v>
      </c>
      <c r="S40" s="349" t="s">
        <v>110</v>
      </c>
      <c r="T40" s="350" t="s">
        <v>111</v>
      </c>
      <c r="U40" s="351" t="str">
        <f ca="1">OFFSET(U40,0,-1)</f>
        <v>2</v>
      </c>
      <c r="V40" s="352">
        <f ca="1">OFFSET(V40,0,-1)+1</f>
        <v>3</v>
      </c>
      <c r="W40" s="352">
        <f ca="1">OFFSET(W40,0,-1)+1</f>
        <v>4</v>
      </c>
      <c r="X40" s="352">
        <f ca="1">OFFSET(X40,0,-1)+1</f>
        <v>5</v>
      </c>
      <c r="Y40" s="352">
        <f ca="1">OFFSET(Y40,0,-1)+1</f>
        <v>6</v>
      </c>
      <c r="Z40" s="1122">
        <f ca="1">OFFSET(Z40,0,-1)+1</f>
        <v>7</v>
      </c>
      <c r="AA40" s="1122"/>
      <c r="AB40" s="352">
        <f ca="1">OFFSET(AB40,0,-2)+1</f>
        <v>8</v>
      </c>
      <c r="AC40" s="352">
        <f ca="1">OFFSET(AC40,0,-1)+1</f>
        <v>9</v>
      </c>
      <c r="AD40" s="352">
        <f ca="1">OFFSET(AD40,0,-1)+1</f>
        <v>10</v>
      </c>
      <c r="AE40" s="352">
        <f ca="1">OFFSET(AE40,0,-1)+1</f>
        <v>11</v>
      </c>
      <c r="AF40" s="352">
        <f ca="1">OFFSET(AF40,0,-1)+1</f>
        <v>12</v>
      </c>
      <c r="AG40" s="1122">
        <f ca="1">OFFSET(AG40,0,-1)+1</f>
        <v>13</v>
      </c>
      <c r="AH40" s="1122"/>
      <c r="AI40" s="352">
        <f ca="1">OFFSET(AI40,0,-2)+1</f>
        <v>14</v>
      </c>
      <c r="AJ40" s="351">
        <f ca="1">OFFSET(AJ40,0,-1)</f>
        <v>14</v>
      </c>
      <c r="AK40" s="352">
        <f ca="1">OFFSET(AK40,0,-1)+1</f>
        <v>15</v>
      </c>
      <c r="AQ40" s="258">
        <v>0</v>
      </c>
    </row>
    <row r="41" spans="1:43" ht="24" customHeight="1">
      <c r="A41" s="353" t="s">
        <v>242</v>
      </c>
      <c r="E41" s="1111">
        <v>1</v>
      </c>
      <c r="R41" s="294"/>
      <c r="S41" s="295">
        <f>INDEX(PT_DIFFERENTIATION_NUM_NTAR,MATCH(A41,PT_DIFFERENTIATION_NTAR_ID,0))</f>
        <v>0</v>
      </c>
      <c r="T41" s="296" t="s">
        <v>126</v>
      </c>
      <c r="U41" s="297"/>
      <c r="V41" s="1106"/>
      <c r="W41" s="1107"/>
      <c r="X41" s="1107"/>
      <c r="Y41" s="1107"/>
      <c r="Z41" s="1107"/>
      <c r="AA41" s="1107"/>
      <c r="AB41" s="1108"/>
      <c r="AC41" s="1106" t="str">
        <f>INDEX(PT_DIFFERENTIATION_NTAR,MATCH(A41,PT_DIFFERENTIATION_NTAR_ID,0))</f>
        <v/>
      </c>
      <c r="AD41" s="1107"/>
      <c r="AE41" s="1107"/>
      <c r="AF41" s="1107"/>
      <c r="AG41" s="1107"/>
      <c r="AH41" s="1107"/>
      <c r="AI41" s="1107"/>
      <c r="AJ41" s="1108"/>
      <c r="AK41"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7" t="str">
        <f t="shared" ref="AN41:AN53" si="1">IF(T41="","",T41)</f>
        <v>Наименование тарифа</v>
      </c>
      <c r="AQ41" s="17">
        <v>23</v>
      </c>
    </row>
    <row r="42" spans="1:43" ht="24" customHeight="1">
      <c r="A42" s="353" t="s">
        <v>242</v>
      </c>
      <c r="B42" s="353" t="s">
        <v>243</v>
      </c>
      <c r="E42" s="1112"/>
      <c r="F42" s="1111">
        <v>1</v>
      </c>
      <c r="Q42" s="300"/>
      <c r="R42" s="301"/>
      <c r="S42" s="295" t="str">
        <f>INDEX(PT_DIFFERENTIATION_NUM_TER,MATCH(B42,PT_DIFFERENTIATION_TER_ID,0))</f>
        <v>.</v>
      </c>
      <c r="T42" s="302" t="s">
        <v>398</v>
      </c>
      <c r="U42" s="297"/>
      <c r="V42" s="1106"/>
      <c r="W42" s="1107"/>
      <c r="X42" s="1107"/>
      <c r="Y42" s="1107"/>
      <c r="Z42" s="1107"/>
      <c r="AA42" s="1107"/>
      <c r="AB42" s="1108"/>
      <c r="AC42" s="1106" t="str">
        <f>INDEX(PT_DIFFERENTIATION_TER,MATCH(B42,PT_DIFFERENTIATION_TER_ID,0))</f>
        <v/>
      </c>
      <c r="AD42" s="1107"/>
      <c r="AE42" s="1107"/>
      <c r="AF42" s="1107"/>
      <c r="AG42" s="1107"/>
      <c r="AH42" s="1107"/>
      <c r="AI42" s="1107"/>
      <c r="AJ42" s="1108"/>
      <c r="AK42" s="299" t="s">
        <v>399</v>
      </c>
      <c r="AN42" s="87" t="str">
        <f t="shared" si="1"/>
        <v>Территория действия тарифа</v>
      </c>
      <c r="AQ42" s="17">
        <v>23</v>
      </c>
    </row>
    <row r="43" spans="1:43" ht="24" customHeight="1">
      <c r="A43" s="353" t="s">
        <v>242</v>
      </c>
      <c r="B43" s="353" t="s">
        <v>243</v>
      </c>
      <c r="C43" s="353" t="s">
        <v>244</v>
      </c>
      <c r="E43" s="1112"/>
      <c r="F43" s="1112"/>
      <c r="G43" s="1111">
        <v>1</v>
      </c>
      <c r="Q43" s="300"/>
      <c r="R43" s="301"/>
      <c r="S43" s="295" t="str">
        <f>INDEX(PT_DIFFERENTIATION_NUM_CS,MATCH(C43,PT_DIFFERENTIATION_CS_ID,0))</f>
        <v>..</v>
      </c>
      <c r="T43" s="303" t="s">
        <v>482</v>
      </c>
      <c r="U43" s="297"/>
      <c r="V43" s="1106"/>
      <c r="W43" s="1107"/>
      <c r="X43" s="1107"/>
      <c r="Y43" s="1107"/>
      <c r="Z43" s="1107"/>
      <c r="AA43" s="1107"/>
      <c r="AB43" s="1108"/>
      <c r="AC43" s="1106" t="str">
        <f>INDEX(PT_DIFFERENTIATION_CS,MATCH(C43,PT_DIFFERENTIATION_CS_ID,0))</f>
        <v/>
      </c>
      <c r="AD43" s="1107"/>
      <c r="AE43" s="1107"/>
      <c r="AF43" s="1107"/>
      <c r="AG43" s="1107"/>
      <c r="AH43" s="1107"/>
      <c r="AI43" s="1107"/>
      <c r="AJ43" s="1108"/>
      <c r="AK43" s="299" t="s">
        <v>483</v>
      </c>
      <c r="AN43" s="87" t="str">
        <f t="shared" si="1"/>
        <v>Наименование централизованной системы холодного водоснабжения</v>
      </c>
      <c r="AQ43" s="17">
        <v>23</v>
      </c>
    </row>
    <row r="44" spans="1:43" ht="24" customHeight="1">
      <c r="A44" s="353" t="s">
        <v>242</v>
      </c>
      <c r="B44" s="353" t="s">
        <v>243</v>
      </c>
      <c r="C44" s="353" t="s">
        <v>244</v>
      </c>
      <c r="D44" s="353" t="s">
        <v>499</v>
      </c>
      <c r="E44" s="1112"/>
      <c r="F44" s="1112"/>
      <c r="G44" s="1112"/>
      <c r="H44" s="1112"/>
      <c r="I44" s="1113" t="str">
        <f>S43&amp;".1"</f>
        <v>...1</v>
      </c>
      <c r="P44" s="1115">
        <v>1</v>
      </c>
      <c r="R44" s="307"/>
      <c r="S44" s="295" t="str">
        <f>$I44</f>
        <v>...1</v>
      </c>
      <c r="T44" s="308" t="s">
        <v>484</v>
      </c>
      <c r="U44" s="297"/>
      <c r="V44" s="1179"/>
      <c r="W44" s="1180"/>
      <c r="X44" s="1180"/>
      <c r="Y44" s="1180"/>
      <c r="Z44" s="1180"/>
      <c r="AA44" s="1180"/>
      <c r="AB44" s="1181"/>
      <c r="AC44" s="1182"/>
      <c r="AD44" s="1183"/>
      <c r="AE44" s="1183"/>
      <c r="AF44" s="1183"/>
      <c r="AG44" s="1183"/>
      <c r="AH44" s="1183"/>
      <c r="AI44" s="1183"/>
      <c r="AJ44" s="1184"/>
      <c r="AK44" s="299" t="s">
        <v>485</v>
      </c>
      <c r="AN44" s="87" t="str">
        <f t="shared" si="1"/>
        <v>Наименование признака дифференциации</v>
      </c>
      <c r="AQ44" s="17">
        <v>23</v>
      </c>
    </row>
    <row r="45" spans="1:43" ht="24" customHeight="1">
      <c r="A45" s="353" t="s">
        <v>242</v>
      </c>
      <c r="B45" s="353" t="s">
        <v>243</v>
      </c>
      <c r="C45" s="353" t="s">
        <v>244</v>
      </c>
      <c r="D45" s="353" t="s">
        <v>499</v>
      </c>
      <c r="E45" s="1112"/>
      <c r="F45" s="1112"/>
      <c r="G45" s="1112"/>
      <c r="H45" s="1112"/>
      <c r="I45" s="1114"/>
      <c r="J45" s="1113" t="str">
        <f>I44&amp;".1"</f>
        <v>...1.1</v>
      </c>
      <c r="L45" s="306" t="s">
        <v>407</v>
      </c>
      <c r="P45" s="964"/>
      <c r="Q45" s="1115">
        <v>1</v>
      </c>
      <c r="R45" s="309"/>
      <c r="S45" s="295" t="str">
        <f>$J45</f>
        <v>...1.1</v>
      </c>
      <c r="T45" s="310" t="s">
        <v>408</v>
      </c>
      <c r="U45" s="297"/>
      <c r="V45" s="1100"/>
      <c r="W45" s="1101"/>
      <c r="X45" s="1101"/>
      <c r="Y45" s="1101"/>
      <c r="Z45" s="1101"/>
      <c r="AA45" s="1101"/>
      <c r="AB45" s="1102"/>
      <c r="AC45" s="1100"/>
      <c r="AD45" s="1101"/>
      <c r="AE45" s="1101"/>
      <c r="AF45" s="1101"/>
      <c r="AG45" s="1101"/>
      <c r="AH45" s="1101"/>
      <c r="AI45" s="1101"/>
      <c r="AJ45" s="1102"/>
      <c r="AK45" s="386" t="s">
        <v>486</v>
      </c>
      <c r="AN45" s="87" t="str">
        <f t="shared" si="1"/>
        <v>Группа потребителей</v>
      </c>
      <c r="AQ45" s="17">
        <v>23</v>
      </c>
    </row>
    <row r="46" spans="1:43" ht="24" customHeight="1">
      <c r="A46" s="353" t="s">
        <v>242</v>
      </c>
      <c r="B46" s="353" t="s">
        <v>243</v>
      </c>
      <c r="C46" s="353" t="s">
        <v>244</v>
      </c>
      <c r="D46" s="353" t="s">
        <v>499</v>
      </c>
      <c r="E46" s="1112"/>
      <c r="F46" s="1112"/>
      <c r="G46" s="1112"/>
      <c r="H46" s="1112"/>
      <c r="I46" s="1114"/>
      <c r="J46" s="1114"/>
      <c r="K46" s="1113" t="str">
        <f>J45&amp;".1"</f>
        <v>...1.1.1</v>
      </c>
      <c r="P46" s="964"/>
      <c r="Q46" s="964"/>
      <c r="R46" s="309">
        <v>1</v>
      </c>
      <c r="S46" s="295" t="str">
        <f>$K46</f>
        <v>...1.1.1</v>
      </c>
      <c r="T46" s="426"/>
      <c r="U46" s="297"/>
      <c r="V46" s="312"/>
      <c r="W46" s="312"/>
      <c r="X46" s="314"/>
      <c r="Y46" s="1116"/>
      <c r="Z46" s="1004" t="s">
        <v>66</v>
      </c>
      <c r="AA46" s="1116"/>
      <c r="AB46" s="1004" t="s">
        <v>66</v>
      </c>
      <c r="AC46" s="312"/>
      <c r="AD46" s="312"/>
      <c r="AE46" s="314"/>
      <c r="AF46" s="1116"/>
      <c r="AG46" s="1004" t="s">
        <v>66</v>
      </c>
      <c r="AH46" s="1118"/>
      <c r="AI46" s="1004" t="s">
        <v>66</v>
      </c>
      <c r="AJ46" s="427"/>
      <c r="AK46"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 t="e">
        <f ca="1">STRCHECKDATE(V47:AJ47)</f>
        <v>#NAME?</v>
      </c>
      <c r="AN46" s="87" t="str">
        <f t="shared" si="1"/>
        <v/>
      </c>
      <c r="AQ46" s="17">
        <v>23</v>
      </c>
    </row>
    <row r="47" spans="1:43" ht="0" hidden="1" customHeight="1">
      <c r="A47" s="353" t="s">
        <v>242</v>
      </c>
      <c r="B47" s="353" t="s">
        <v>243</v>
      </c>
      <c r="C47" s="353" t="s">
        <v>244</v>
      </c>
      <c r="D47" s="353" t="s">
        <v>499</v>
      </c>
      <c r="E47" s="1112"/>
      <c r="F47" s="1112"/>
      <c r="G47" s="1112"/>
      <c r="H47" s="1112"/>
      <c r="I47" s="1114"/>
      <c r="J47" s="1114"/>
      <c r="K47" s="1113"/>
      <c r="P47" s="964"/>
      <c r="Q47" s="964"/>
      <c r="R47" s="309"/>
      <c r="S47" s="278"/>
      <c r="T47" s="297"/>
      <c r="U47" s="297"/>
      <c r="V47" s="313"/>
      <c r="W47" s="313"/>
      <c r="X47" s="316" t="str">
        <f>Y46&amp;"-"&amp;AA46</f>
        <v>-</v>
      </c>
      <c r="Y47" s="1117"/>
      <c r="Z47" s="1004"/>
      <c r="AA47" s="1117"/>
      <c r="AB47" s="1004"/>
      <c r="AC47" s="313"/>
      <c r="AD47" s="313"/>
      <c r="AE47" s="316" t="str">
        <f>AF46&amp;"-"&amp;AH46</f>
        <v>-</v>
      </c>
      <c r="AF47" s="1117"/>
      <c r="AG47" s="1004"/>
      <c r="AH47" s="1119"/>
      <c r="AI47" s="1004"/>
      <c r="AJ47" s="428"/>
      <c r="AK47" s="1185"/>
      <c r="AN47" s="87" t="str">
        <f t="shared" si="1"/>
        <v/>
      </c>
      <c r="AQ47" s="17">
        <v>0</v>
      </c>
    </row>
    <row r="48" spans="1:43" ht="21" customHeight="1">
      <c r="A48" s="353" t="s">
        <v>242</v>
      </c>
      <c r="B48" s="353" t="s">
        <v>243</v>
      </c>
      <c r="C48" s="353" t="s">
        <v>244</v>
      </c>
      <c r="D48" s="353" t="s">
        <v>499</v>
      </c>
      <c r="E48" s="1112"/>
      <c r="F48" s="1112"/>
      <c r="G48" s="1112"/>
      <c r="H48" s="1112"/>
      <c r="I48" s="1114"/>
      <c r="J48" s="1113"/>
      <c r="P48" s="964"/>
      <c r="Q48" s="964"/>
      <c r="R48" s="307"/>
      <c r="S48" s="318"/>
      <c r="T48" s="321" t="s">
        <v>487</v>
      </c>
      <c r="U48" s="117"/>
      <c r="V48" s="117"/>
      <c r="W48" s="117"/>
      <c r="X48" s="117"/>
      <c r="Y48" s="117"/>
      <c r="Z48" s="117"/>
      <c r="AA48" s="117"/>
      <c r="AB48" s="117"/>
      <c r="AC48" s="117"/>
      <c r="AD48" s="117"/>
      <c r="AE48" s="117"/>
      <c r="AF48" s="117"/>
      <c r="AG48" s="117"/>
      <c r="AH48" s="117"/>
      <c r="AI48" s="117"/>
      <c r="AJ48" s="117"/>
      <c r="AK48" s="299" t="s">
        <v>488</v>
      </c>
      <c r="AN48" s="87" t="str">
        <f t="shared" si="1"/>
        <v>Добавить значение признака дифференциации</v>
      </c>
      <c r="AQ48" s="17">
        <v>20</v>
      </c>
    </row>
    <row r="49" spans="1:43" ht="21.95" customHeight="1">
      <c r="A49" s="353" t="s">
        <v>242</v>
      </c>
      <c r="B49" s="353" t="s">
        <v>243</v>
      </c>
      <c r="C49" s="353" t="s">
        <v>244</v>
      </c>
      <c r="D49" s="353" t="s">
        <v>499</v>
      </c>
      <c r="E49" s="1112"/>
      <c r="F49" s="1112"/>
      <c r="G49" s="1112"/>
      <c r="H49" s="1112"/>
      <c r="I49" s="1113"/>
      <c r="P49" s="964"/>
      <c r="R49" s="307"/>
      <c r="S49" s="318"/>
      <c r="T49" s="324" t="s">
        <v>413</v>
      </c>
      <c r="U49" s="117"/>
      <c r="V49" s="117"/>
      <c r="W49" s="117"/>
      <c r="X49" s="117"/>
      <c r="Y49" s="117"/>
      <c r="Z49" s="117"/>
      <c r="AA49" s="117"/>
      <c r="AB49" s="322"/>
      <c r="AC49" s="117"/>
      <c r="AD49" s="117"/>
      <c r="AE49" s="117"/>
      <c r="AF49" s="117"/>
      <c r="AG49" s="117"/>
      <c r="AH49" s="117"/>
      <c r="AI49" s="322"/>
      <c r="AJ49" s="117"/>
      <c r="AK49" s="429"/>
      <c r="AN49" s="87" t="str">
        <f t="shared" si="1"/>
        <v>Добавить группу потребителей</v>
      </c>
      <c r="AQ49" s="17">
        <v>21</v>
      </c>
    </row>
    <row r="50" spans="1:43" ht="21.95" customHeight="1">
      <c r="A50" s="353" t="s">
        <v>242</v>
      </c>
      <c r="B50" s="353" t="s">
        <v>243</v>
      </c>
      <c r="C50" s="353" t="s">
        <v>244</v>
      </c>
      <c r="D50" s="353" t="s">
        <v>499</v>
      </c>
      <c r="E50" s="1112"/>
      <c r="F50" s="1112"/>
      <c r="G50" s="1112"/>
      <c r="H50" s="1111"/>
      <c r="R50" s="294"/>
      <c r="S50" s="318"/>
      <c r="T50" s="430" t="s">
        <v>489</v>
      </c>
      <c r="U50" s="117"/>
      <c r="V50" s="117"/>
      <c r="W50" s="117"/>
      <c r="X50" s="117"/>
      <c r="Y50" s="117"/>
      <c r="Z50" s="117"/>
      <c r="AA50" s="117"/>
      <c r="AB50" s="322"/>
      <c r="AC50" s="117"/>
      <c r="AD50" s="117"/>
      <c r="AE50" s="117"/>
      <c r="AF50" s="117"/>
      <c r="AG50" s="117"/>
      <c r="AH50" s="117"/>
      <c r="AI50" s="322"/>
      <c r="AJ50" s="117"/>
      <c r="AK50" s="323"/>
      <c r="AN50" s="87" t="str">
        <f t="shared" si="1"/>
        <v>Добавить наименование признака дифференциации</v>
      </c>
      <c r="AQ50" s="17">
        <v>21</v>
      </c>
    </row>
    <row r="51" spans="1:43" ht="0" hidden="1" customHeight="1">
      <c r="A51" s="72" t="s">
        <v>242</v>
      </c>
      <c r="B51" s="72" t="s">
        <v>243</v>
      </c>
      <c r="E51" s="1112"/>
      <c r="F51" s="1111"/>
      <c r="T51" s="329" t="s">
        <v>416</v>
      </c>
      <c r="AN51" s="87" t="str">
        <f t="shared" si="1"/>
        <v>Добавить централизованную систему для дифференциации</v>
      </c>
      <c r="AQ51" s="75">
        <v>0</v>
      </c>
    </row>
    <row r="52" spans="1:43" ht="0" hidden="1" customHeight="1">
      <c r="A52" s="72" t="s">
        <v>242</v>
      </c>
      <c r="E52" s="1111"/>
      <c r="T52" s="329" t="s">
        <v>417</v>
      </c>
      <c r="AN52" s="87" t="str">
        <f t="shared" si="1"/>
        <v>Добавить территорию для дифференциации</v>
      </c>
      <c r="AQ52" s="75">
        <v>0</v>
      </c>
    </row>
    <row r="53" spans="1:43" ht="0" hidden="1" customHeight="1">
      <c r="T53" s="329" t="s">
        <v>449</v>
      </c>
      <c r="AN53" s="87" t="str">
        <f t="shared" si="1"/>
        <v>Добавить наименование тарифа</v>
      </c>
      <c r="AQ53" s="75">
        <v>0</v>
      </c>
    </row>
    <row r="54" spans="1:43" ht="11.45" customHeight="1">
      <c r="AQ54" s="17">
        <v>11</v>
      </c>
    </row>
    <row r="55" spans="1:43" ht="14.65" customHeight="1">
      <c r="T55" s="964"/>
      <c r="U55" s="964"/>
      <c r="V55" s="964"/>
      <c r="W55" s="964"/>
      <c r="X55" s="964"/>
      <c r="Y55" s="964"/>
      <c r="Z55" s="964"/>
      <c r="AA55" s="964"/>
      <c r="AB55" s="964"/>
      <c r="AC55" s="964"/>
      <c r="AD55" s="964"/>
      <c r="AE55" s="964"/>
      <c r="AF55" s="964"/>
      <c r="AG55" s="964"/>
      <c r="AH55" s="964"/>
      <c r="AI55" s="964"/>
      <c r="AJ55" s="964"/>
      <c r="AK55" s="964"/>
      <c r="AQ55" s="17">
        <v>14</v>
      </c>
    </row>
    <row r="56" spans="1:43" ht="14.65" customHeight="1">
      <c r="AQ56" s="17">
        <v>14</v>
      </c>
    </row>
    <row r="57" spans="1:43" ht="14.65" customHeight="1">
      <c r="T57" s="964"/>
      <c r="U57" s="964"/>
      <c r="V57" s="964"/>
      <c r="W57" s="964"/>
      <c r="X57" s="964"/>
      <c r="Y57" s="964"/>
      <c r="Z57" s="964"/>
      <c r="AA57" s="964"/>
      <c r="AB57" s="964"/>
      <c r="AC57" s="964"/>
      <c r="AD57" s="964"/>
      <c r="AE57" s="964"/>
      <c r="AF57" s="964"/>
      <c r="AG57" s="964"/>
      <c r="AH57" s="964"/>
      <c r="AI57" s="964"/>
      <c r="AJ57" s="964"/>
      <c r="AK57" s="964"/>
      <c r="AQ57" s="17">
        <v>14</v>
      </c>
    </row>
    <row r="58" spans="1:43" ht="22.5" hidden="1" customHeight="1">
      <c r="A58" s="37" t="s">
        <v>82</v>
      </c>
      <c r="B58" s="37">
        <v>0</v>
      </c>
      <c r="C58" s="37">
        <v>0</v>
      </c>
      <c r="D58" s="37">
        <v>0</v>
      </c>
      <c r="E58" s="37">
        <v>0</v>
      </c>
      <c r="F58" s="37">
        <v>0</v>
      </c>
      <c r="G58" s="37">
        <v>0</v>
      </c>
      <c r="H58" s="37">
        <v>0</v>
      </c>
      <c r="I58" s="37">
        <v>0</v>
      </c>
      <c r="J58" s="37">
        <v>0</v>
      </c>
      <c r="K58" s="37">
        <v>0</v>
      </c>
      <c r="L58" s="240">
        <v>0</v>
      </c>
      <c r="M58" s="41">
        <v>0</v>
      </c>
      <c r="N58" s="41">
        <v>0</v>
      </c>
      <c r="O58" s="41">
        <v>0</v>
      </c>
      <c r="P58" s="356">
        <v>3</v>
      </c>
      <c r="Q58" s="357">
        <v>3</v>
      </c>
      <c r="R58" s="357">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5">
        <v>10</v>
      </c>
      <c r="AM58" s="75">
        <v>10</v>
      </c>
      <c r="AN58" s="75">
        <v>10</v>
      </c>
      <c r="AO58" s="75">
        <v>10</v>
      </c>
      <c r="AP58" s="75">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35FB-2F3E-8663-7906-5F06611AD03D}">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hidden="1" customWidth="1"/>
    <col min="4" max="4" width="11.85546875" hidden="1" customWidth="1"/>
    <col min="5" max="15" width="10.140625" hidden="1" customWidth="1"/>
    <col min="16" max="18" width="3" customWidth="1"/>
    <col min="19" max="19" width="12" customWidth="1"/>
    <col min="20" max="20" width="31"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27" customWidth="1"/>
    <col min="29" max="29" width="24.5703125" customWidth="1"/>
    <col min="30" max="31" width="21"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0.75" hidden="1" customHeight="1">
      <c r="AQ1" s="17" t="s">
        <v>14</v>
      </c>
    </row>
    <row r="2" spans="5:43" ht="21" hidden="1" customHeight="1">
      <c r="E2" s="1137">
        <v>1</v>
      </c>
      <c r="R2" s="294"/>
      <c r="S2" s="295" t="e">
        <f>INDEX(PT_DIFFERENTIATION_NUM_NTAR,MATCH(A2,PT_DIFFERENTIATION_NTAR_ID,0))</f>
        <v>#N/A</v>
      </c>
      <c r="T2" s="296" t="s">
        <v>126</v>
      </c>
      <c r="U2" s="297"/>
      <c r="V2" s="1107"/>
      <c r="W2" s="1107"/>
      <c r="X2" s="1107"/>
      <c r="Y2" s="1107"/>
      <c r="Z2" s="1107"/>
      <c r="AA2" s="1108"/>
      <c r="AB2" s="298"/>
      <c r="AC2" s="1107" t="e">
        <f>INDEX(PT_DIFFERENTIATION_NTAR,MATCH(A2,PT_DIFFERENTIATION_NTAR_ID,0))</f>
        <v>#N/A</v>
      </c>
      <c r="AD2" s="1107"/>
      <c r="AE2" s="1107"/>
      <c r="AF2" s="1107"/>
      <c r="AG2" s="1107"/>
      <c r="AH2" s="1107"/>
      <c r="AI2" s="1107"/>
      <c r="AJ2" s="1108"/>
      <c r="AK2" s="299" t="s">
        <v>397</v>
      </c>
      <c r="AN2" s="87" t="str">
        <f t="shared" ref="AN2:AN14" si="0">IF(T2="","",T2)</f>
        <v>Наименование тарифа</v>
      </c>
      <c r="AQ2" s="17">
        <v>0</v>
      </c>
    </row>
    <row r="3" spans="5:43" ht="21" hidden="1" customHeight="1">
      <c r="E3" s="1138"/>
      <c r="F3" s="1137">
        <v>1</v>
      </c>
      <c r="Q3" s="397"/>
      <c r="R3" s="301"/>
      <c r="S3" s="295" t="e">
        <f>INDEX(PT_DIFFERENTIATION_NUM_TER,MATCH(B3,PT_DIFFERENTIATION_TER_ID,0))</f>
        <v>#N/A</v>
      </c>
      <c r="T3" s="302" t="s">
        <v>398</v>
      </c>
      <c r="U3" s="297"/>
      <c r="V3" s="1107"/>
      <c r="W3" s="1107"/>
      <c r="X3" s="1107"/>
      <c r="Y3" s="1107"/>
      <c r="Z3" s="1107"/>
      <c r="AA3" s="1108"/>
      <c r="AB3" s="298"/>
      <c r="AC3" s="1107" t="e">
        <f>INDEX(PT_DIFFERENTIATION_TER,MATCH(B3,PT_DIFFERENTIATION_TER_ID,0))</f>
        <v>#N/A</v>
      </c>
      <c r="AD3" s="1107"/>
      <c r="AE3" s="1107"/>
      <c r="AF3" s="1107"/>
      <c r="AG3" s="1107"/>
      <c r="AH3" s="1107"/>
      <c r="AI3" s="1107"/>
      <c r="AJ3" s="1108"/>
      <c r="AK3" s="299" t="s">
        <v>399</v>
      </c>
      <c r="AN3" s="87" t="str">
        <f t="shared" si="0"/>
        <v>Территория действия тарифа</v>
      </c>
      <c r="AQ3" s="17">
        <v>0</v>
      </c>
    </row>
    <row r="4" spans="5:43" ht="22.5" hidden="1" customHeight="1">
      <c r="E4" s="1138"/>
      <c r="F4" s="1138"/>
      <c r="G4" s="1137">
        <v>1</v>
      </c>
      <c r="Q4" s="397"/>
      <c r="R4" s="301"/>
      <c r="S4" s="295" t="e">
        <f>INDEX(PT_DIFFERENTIATION_NUM_CS,MATCH(C4,PT_DIFFERENTIATION_CS_ID,0))</f>
        <v>#N/A</v>
      </c>
      <c r="T4" s="303" t="s">
        <v>400</v>
      </c>
      <c r="U4" s="297"/>
      <c r="V4" s="1107"/>
      <c r="W4" s="1107"/>
      <c r="X4" s="1107"/>
      <c r="Y4" s="1107"/>
      <c r="Z4" s="1107"/>
      <c r="AA4" s="1108"/>
      <c r="AB4" s="298"/>
      <c r="AC4" s="1107" t="e">
        <f>INDEX(PT_DIFFERENTIATION_CS,MATCH(C4,PT_DIFFERENTIATION_CS_ID,0))</f>
        <v>#N/A</v>
      </c>
      <c r="AD4" s="1107"/>
      <c r="AE4" s="1107"/>
      <c r="AF4" s="1107"/>
      <c r="AG4" s="1107"/>
      <c r="AH4" s="1107"/>
      <c r="AI4" s="1107"/>
      <c r="AJ4" s="1108"/>
      <c r="AK4" s="299" t="s">
        <v>401</v>
      </c>
      <c r="AN4" s="87" t="str">
        <f t="shared" si="0"/>
        <v xml:space="preserve">Наименование системы теплоснабжения </v>
      </c>
      <c r="AQ4" s="17">
        <v>0</v>
      </c>
    </row>
    <row r="5" spans="5:43" ht="21" hidden="1" customHeight="1">
      <c r="E5" s="1138"/>
      <c r="F5" s="1138"/>
      <c r="G5" s="1138"/>
      <c r="H5" s="1137">
        <v>1</v>
      </c>
      <c r="Q5" s="397"/>
      <c r="R5" s="301"/>
      <c r="S5" s="295" t="e">
        <f>INDEX(PT_DIFFERENTIATION_NUM_IST_TE,MATCH(D5,PT_DIFFERENTIATION_IST_TE_ID,0))</f>
        <v>#N/A</v>
      </c>
      <c r="T5" s="304" t="s">
        <v>402</v>
      </c>
      <c r="U5" s="297"/>
      <c r="V5" s="1107"/>
      <c r="W5" s="1107"/>
      <c r="X5" s="1107"/>
      <c r="Y5" s="1107"/>
      <c r="Z5" s="1107"/>
      <c r="AA5" s="1108"/>
      <c r="AB5" s="298"/>
      <c r="AC5" s="1107" t="e">
        <f>INDEX(PT_DIFFERENTIATION_IST_TE,MATCH(D5,PT_DIFFERENTIATION_IST_TE_ID,0))</f>
        <v>#N/A</v>
      </c>
      <c r="AD5" s="1107"/>
      <c r="AE5" s="1107"/>
      <c r="AF5" s="1107"/>
      <c r="AG5" s="1107"/>
      <c r="AH5" s="1107"/>
      <c r="AI5" s="1107"/>
      <c r="AJ5" s="1108"/>
      <c r="AK5" s="299" t="s">
        <v>403</v>
      </c>
      <c r="AN5" s="87" t="str">
        <f t="shared" si="0"/>
        <v xml:space="preserve">Источник тепловой энергии  </v>
      </c>
      <c r="AQ5" s="17">
        <v>0</v>
      </c>
    </row>
    <row r="6" spans="5:43" ht="0.75" hidden="1" customHeight="1">
      <c r="E6" s="1138"/>
      <c r="F6" s="1138"/>
      <c r="G6" s="1138"/>
      <c r="H6" s="1138"/>
      <c r="I6" s="995" t="e">
        <f>S5&amp;".1"</f>
        <v>#N/A</v>
      </c>
      <c r="L6" s="396" t="s">
        <v>404</v>
      </c>
      <c r="P6" s="1115">
        <v>1</v>
      </c>
      <c r="R6" s="307"/>
      <c r="S6" s="193"/>
      <c r="T6" s="363"/>
      <c r="U6" s="364"/>
      <c r="V6" s="1143"/>
      <c r="W6" s="1143"/>
      <c r="X6" s="1143"/>
      <c r="Y6" s="1143"/>
      <c r="Z6" s="1143"/>
      <c r="AA6" s="1144"/>
      <c r="AB6" s="365"/>
      <c r="AC6" s="1143"/>
      <c r="AD6" s="1143"/>
      <c r="AE6" s="1143"/>
      <c r="AF6" s="1143"/>
      <c r="AG6" s="1143"/>
      <c r="AH6" s="1143"/>
      <c r="AI6" s="1143"/>
      <c r="AJ6" s="1144"/>
      <c r="AK6" s="366"/>
      <c r="AN6" s="87" t="str">
        <f t="shared" si="0"/>
        <v/>
      </c>
      <c r="AQ6" s="75">
        <v>0</v>
      </c>
    </row>
    <row r="7" spans="5:43" ht="0.75" hidden="1" customHeight="1">
      <c r="E7" s="1138"/>
      <c r="F7" s="1138"/>
      <c r="G7" s="1138"/>
      <c r="H7" s="1138"/>
      <c r="I7" s="977"/>
      <c r="J7" s="995" t="e">
        <f>S5&amp;".1"</f>
        <v>#N/A</v>
      </c>
      <c r="P7" s="964"/>
      <c r="Q7" s="1115">
        <v>1</v>
      </c>
      <c r="R7" s="309"/>
      <c r="S7" s="193"/>
      <c r="T7" s="398"/>
      <c r="U7" s="364"/>
      <c r="V7" s="1143"/>
      <c r="W7" s="1143"/>
      <c r="X7" s="1143"/>
      <c r="Y7" s="1143"/>
      <c r="Z7" s="1143"/>
      <c r="AA7" s="1144"/>
      <c r="AB7" s="365"/>
      <c r="AC7" s="1143"/>
      <c r="AD7" s="1143"/>
      <c r="AE7" s="1143"/>
      <c r="AF7" s="1143"/>
      <c r="AG7" s="1143"/>
      <c r="AH7" s="1143"/>
      <c r="AI7" s="1143"/>
      <c r="AJ7" s="1144"/>
      <c r="AK7" s="366"/>
      <c r="AN7" s="87" t="str">
        <f t="shared" si="0"/>
        <v/>
      </c>
      <c r="AQ7" s="75">
        <v>0</v>
      </c>
    </row>
    <row r="8" spans="5:43" ht="21" hidden="1" customHeight="1">
      <c r="E8" s="1138"/>
      <c r="F8" s="1138"/>
      <c r="G8" s="1138"/>
      <c r="H8" s="1138"/>
      <c r="I8" s="977"/>
      <c r="J8" s="977"/>
      <c r="K8" s="88" t="e">
        <f>S5&amp;".1"</f>
        <v>#N/A</v>
      </c>
      <c r="P8" s="964"/>
      <c r="Q8" s="964"/>
      <c r="R8" s="399">
        <v>1</v>
      </c>
      <c r="S8" s="372" t="e">
        <f>$K8</f>
        <v>#N/A</v>
      </c>
      <c r="T8" s="400"/>
      <c r="U8" s="297"/>
      <c r="V8" s="312"/>
      <c r="W8" s="314"/>
      <c r="X8" s="315"/>
      <c r="Y8" s="122" t="s">
        <v>66</v>
      </c>
      <c r="Z8" s="315"/>
      <c r="AA8" s="122" t="s">
        <v>66</v>
      </c>
      <c r="AB8" s="431"/>
      <c r="AC8" s="432" t="s">
        <v>22</v>
      </c>
      <c r="AD8" s="312"/>
      <c r="AE8" s="314"/>
      <c r="AF8" s="315"/>
      <c r="AG8" s="122" t="s">
        <v>66</v>
      </c>
      <c r="AH8" s="315"/>
      <c r="AI8" s="122" t="s">
        <v>66</v>
      </c>
      <c r="AJ8" s="354"/>
      <c r="AK8" s="1134" t="s">
        <v>465</v>
      </c>
      <c r="AL8" s="75" t="e">
        <f ca="1">STRCHECKDATE(#REF!)</f>
        <v>#NAME?</v>
      </c>
      <c r="AN8" s="87" t="str">
        <f t="shared" si="0"/>
        <v/>
      </c>
      <c r="AQ8" s="17">
        <v>0</v>
      </c>
    </row>
    <row r="9" spans="5:43" ht="11.25" hidden="1" customHeight="1">
      <c r="E9" s="1138"/>
      <c r="F9" s="1138"/>
      <c r="G9" s="1138"/>
      <c r="H9" s="1138"/>
      <c r="I9" s="977"/>
      <c r="J9" s="995"/>
      <c r="P9" s="964"/>
      <c r="Q9" s="964"/>
      <c r="R9" s="307"/>
      <c r="S9" s="318"/>
      <c r="T9" s="321" t="s">
        <v>469</v>
      </c>
      <c r="U9" s="117"/>
      <c r="V9" s="117"/>
      <c r="W9" s="117"/>
      <c r="X9" s="117"/>
      <c r="Y9" s="117"/>
      <c r="Z9" s="117"/>
      <c r="AA9" s="117"/>
      <c r="AB9" s="117"/>
      <c r="AC9" s="117"/>
      <c r="AD9" s="117"/>
      <c r="AE9" s="117"/>
      <c r="AF9" s="117"/>
      <c r="AG9" s="117"/>
      <c r="AH9" s="117"/>
      <c r="AI9" s="117"/>
      <c r="AJ9" s="320"/>
      <c r="AK9" s="1136"/>
      <c r="AN9" s="87" t="str">
        <f t="shared" si="0"/>
        <v>Добавить строку</v>
      </c>
      <c r="AQ9" s="17">
        <v>0</v>
      </c>
    </row>
    <row r="10" spans="5:43" ht="0.75" hidden="1" customHeight="1">
      <c r="E10" s="1138"/>
      <c r="F10" s="1138"/>
      <c r="G10" s="1138"/>
      <c r="H10" s="1138"/>
      <c r="I10" s="995"/>
      <c r="P10" s="964"/>
      <c r="R10" s="307"/>
      <c r="S10" s="367"/>
      <c r="T10" s="368"/>
      <c r="U10" s="369"/>
      <c r="V10" s="369"/>
      <c r="W10" s="369"/>
      <c r="X10" s="369"/>
      <c r="Y10" s="369"/>
      <c r="Z10" s="369"/>
      <c r="AA10" s="369"/>
      <c r="AB10" s="369"/>
      <c r="AC10" s="369"/>
      <c r="AD10" s="369"/>
      <c r="AE10" s="369"/>
      <c r="AF10" s="369"/>
      <c r="AG10" s="369"/>
      <c r="AH10" s="369"/>
      <c r="AI10" s="369"/>
      <c r="AJ10" s="369"/>
      <c r="AK10" s="370"/>
      <c r="AN10" s="87" t="str">
        <f t="shared" si="0"/>
        <v/>
      </c>
      <c r="AQ10" s="75">
        <v>0</v>
      </c>
    </row>
    <row r="11" spans="5:43" ht="0.75" hidden="1" customHeight="1">
      <c r="E11" s="1138"/>
      <c r="F11" s="1138"/>
      <c r="G11" s="1138"/>
      <c r="H11" s="1137"/>
      <c r="R11" s="410"/>
      <c r="S11" s="367"/>
      <c r="T11" s="368"/>
      <c r="U11" s="369"/>
      <c r="V11" s="369"/>
      <c r="W11" s="369"/>
      <c r="X11" s="369"/>
      <c r="Y11" s="369"/>
      <c r="Z11" s="369"/>
      <c r="AA11" s="369"/>
      <c r="AB11" s="369"/>
      <c r="AC11" s="369"/>
      <c r="AD11" s="369"/>
      <c r="AE11" s="369"/>
      <c r="AF11" s="369"/>
      <c r="AG11" s="369"/>
      <c r="AH11" s="369"/>
      <c r="AI11" s="369"/>
      <c r="AJ11" s="369"/>
      <c r="AK11" s="370"/>
      <c r="AN11" s="87" t="str">
        <f t="shared" si="0"/>
        <v/>
      </c>
      <c r="AQ11" s="75">
        <v>0</v>
      </c>
    </row>
    <row r="12" spans="5:43" ht="0.75" hidden="1" customHeight="1">
      <c r="E12" s="1138"/>
      <c r="F12" s="1138"/>
      <c r="G12" s="1137"/>
      <c r="T12" s="329" t="s">
        <v>415</v>
      </c>
      <c r="AN12" s="87" t="str">
        <f t="shared" si="0"/>
        <v>Добавить источник для дифференциации</v>
      </c>
      <c r="AQ12" s="75">
        <v>0</v>
      </c>
    </row>
    <row r="13" spans="5:43" ht="0.75" hidden="1" customHeight="1">
      <c r="E13" s="1138"/>
      <c r="F13" s="1137"/>
      <c r="T13" s="329" t="s">
        <v>416</v>
      </c>
      <c r="AN13" s="87" t="str">
        <f t="shared" si="0"/>
        <v>Добавить централизованную систему для дифференциации</v>
      </c>
      <c r="AQ13" s="75">
        <v>0</v>
      </c>
    </row>
    <row r="14" spans="5:43" ht="0.75" hidden="1" customHeight="1">
      <c r="E14" s="1137"/>
      <c r="T14" s="329" t="s">
        <v>417</v>
      </c>
      <c r="AN14" s="87" t="str">
        <f t="shared" si="0"/>
        <v>Добавить территорию для дифференциации</v>
      </c>
      <c r="AQ14" s="75">
        <v>0</v>
      </c>
    </row>
    <row r="15" spans="5:43" ht="14.25" hidden="1" customHeight="1">
      <c r="AQ15" s="17">
        <v>0</v>
      </c>
    </row>
    <row r="16" spans="5:43" ht="14.25" hidden="1" customHeight="1">
      <c r="AD16" s="413"/>
      <c r="AE16" s="414"/>
      <c r="AF16" s="415"/>
      <c r="AG16" s="416" t="s">
        <v>66</v>
      </c>
      <c r="AH16" s="415"/>
      <c r="AI16" s="416" t="s">
        <v>66</v>
      </c>
      <c r="AQ16" s="17">
        <v>0</v>
      </c>
    </row>
    <row r="17" spans="15:43" ht="14.25" hidden="1" customHeight="1">
      <c r="AQ17" s="17">
        <v>0</v>
      </c>
    </row>
    <row r="18" spans="15:43" ht="14.25" hidden="1" customHeight="1">
      <c r="O18" s="359" t="s">
        <v>418</v>
      </c>
      <c r="X18" s="359"/>
      <c r="Z18" s="359"/>
      <c r="AF18" s="359"/>
      <c r="AH18" s="359"/>
      <c r="AQ18" s="17">
        <v>0</v>
      </c>
    </row>
    <row r="19" spans="15:43" ht="14.25" hidden="1" customHeight="1">
      <c r="AQ19" s="17">
        <v>0</v>
      </c>
    </row>
    <row r="20" spans="15:43" ht="14.25" hidden="1" customHeight="1">
      <c r="O20" s="433" t="s">
        <v>419</v>
      </c>
      <c r="Y20" s="417" t="s">
        <v>421</v>
      </c>
      <c r="AA20" s="417" t="s">
        <v>422</v>
      </c>
      <c r="AC20" s="417" t="s">
        <v>471</v>
      </c>
      <c r="AG20" s="417" t="s">
        <v>421</v>
      </c>
      <c r="AI20" s="417" t="s">
        <v>422</v>
      </c>
      <c r="AQ20" s="417">
        <v>0</v>
      </c>
    </row>
    <row r="21" spans="15:43" ht="14.25" hidden="1" customHeight="1">
      <c r="AQ21" s="17">
        <v>0</v>
      </c>
    </row>
    <row r="22" spans="15:43" ht="14.25" hidden="1" customHeight="1">
      <c r="AQ22" s="17">
        <v>0</v>
      </c>
    </row>
    <row r="23" spans="15:43" ht="14.65" customHeight="1">
      <c r="Q23" s="418"/>
      <c r="R23" s="333"/>
      <c r="S23" s="334"/>
      <c r="T23" s="38"/>
      <c r="U23" s="38"/>
      <c r="AQ23" s="17">
        <v>14</v>
      </c>
    </row>
    <row r="24" spans="15:43" ht="39.75" customHeight="1">
      <c r="Q24" s="418"/>
      <c r="R24" s="333"/>
      <c r="S24" s="10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093"/>
      <c r="U24" s="1093"/>
      <c r="V24" s="1093"/>
      <c r="W24" s="1093"/>
      <c r="X24" s="1093"/>
      <c r="Y24" s="1093"/>
      <c r="Z24" s="1093"/>
      <c r="AA24" s="1093"/>
      <c r="AB24" s="1093"/>
      <c r="AC24" s="1093"/>
      <c r="AD24" s="1093"/>
      <c r="AE24" s="1093"/>
      <c r="AF24" s="1093"/>
      <c r="AG24" s="1093"/>
      <c r="AH24" s="1093"/>
      <c r="AQ24" s="17">
        <v>38</v>
      </c>
    </row>
    <row r="25" spans="15:43" ht="14.65" customHeight="1">
      <c r="Q25" s="418"/>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Q25" s="17">
        <v>14</v>
      </c>
    </row>
    <row r="26" spans="15:43" ht="14.25" hidden="1" customHeight="1">
      <c r="Q26" s="418"/>
      <c r="R26" s="333"/>
      <c r="S26" s="334"/>
      <c r="T26" s="38"/>
      <c r="U26" s="38"/>
      <c r="V26" s="335"/>
      <c r="W26" s="335"/>
      <c r="X26" s="335"/>
      <c r="Y26" s="335"/>
      <c r="Z26" s="335"/>
      <c r="AA26" s="335"/>
      <c r="AB26" s="335"/>
      <c r="AC26" s="335"/>
      <c r="AD26" s="335"/>
      <c r="AE26" s="335"/>
      <c r="AF26" s="335"/>
      <c r="AG26" s="335"/>
      <c r="AH26" s="335"/>
      <c r="AI26" s="335"/>
      <c r="AQ26" s="17">
        <v>0</v>
      </c>
    </row>
    <row r="27" spans="15:43" ht="25.5" hidden="1" customHeight="1">
      <c r="S27" s="1103" t="s">
        <v>42</v>
      </c>
      <c r="T27" s="1103"/>
      <c r="U27" s="337"/>
      <c r="V27" s="1105" t="str">
        <f>IF(TITLE_NAME_OR_PR_CHANGE="",IF(TITLE_NAME_OR_PR="","",TITLE_NAME_OR_PR),TITLE_NAME_OR_PR_CHANGE)</f>
        <v/>
      </c>
      <c r="W27" s="1105"/>
      <c r="X27" s="1105"/>
      <c r="Y27" s="1105"/>
      <c r="Z27" s="1105"/>
      <c r="AC27" s="1105"/>
      <c r="AD27" s="1105"/>
      <c r="AE27" s="1105"/>
      <c r="AF27" s="1105"/>
      <c r="AG27" s="1105"/>
      <c r="AH27" s="1105"/>
      <c r="AQ27" s="111">
        <v>0</v>
      </c>
    </row>
    <row r="28" spans="15:43" ht="18.75" hidden="1" customHeight="1">
      <c r="S28" s="1103" t="s">
        <v>424</v>
      </c>
      <c r="T28" s="1103"/>
      <c r="U28" s="337"/>
      <c r="V28" s="1104" t="str">
        <f>IF(TITLE_DATE_PR_CHANGE="",IF(TITLE_DATE_PR="","",TITLE_DATE_PR),TITLE_DATE_PR_CHANGE)</f>
        <v/>
      </c>
      <c r="W28" s="1104"/>
      <c r="X28" s="1104"/>
      <c r="Y28" s="1104"/>
      <c r="Z28" s="1104"/>
      <c r="AC28" s="1104"/>
      <c r="AD28" s="1104"/>
      <c r="AE28" s="1104"/>
      <c r="AF28" s="1104"/>
      <c r="AG28" s="1104"/>
      <c r="AH28" s="1104"/>
      <c r="AQ28" s="111">
        <v>0</v>
      </c>
    </row>
    <row r="29" spans="15:43" ht="18.75" hidden="1" customHeight="1">
      <c r="S29" s="1103" t="s">
        <v>425</v>
      </c>
      <c r="T29" s="1103"/>
      <c r="U29" s="337"/>
      <c r="V29" s="1105" t="str">
        <f>IF(TITLE_NUMBER_PR_CHANGE="",IF(TITLE_NUMBER_PR="","",TITLE_NUMBER_PR),TITLE_NUMBER_PR_CHANGE)</f>
        <v/>
      </c>
      <c r="W29" s="1105"/>
      <c r="X29" s="1105"/>
      <c r="Y29" s="1105"/>
      <c r="Z29" s="1105"/>
      <c r="AC29" s="1105"/>
      <c r="AD29" s="1105"/>
      <c r="AE29" s="1105"/>
      <c r="AF29" s="1105"/>
      <c r="AG29" s="1105"/>
      <c r="AH29" s="1105"/>
      <c r="AQ29" s="111">
        <v>0</v>
      </c>
    </row>
    <row r="30" spans="15:43" ht="18.75" hidden="1" customHeight="1">
      <c r="S30" s="1103" t="s">
        <v>43</v>
      </c>
      <c r="T30" s="1103"/>
      <c r="U30" s="337"/>
      <c r="V30" s="1105" t="str">
        <f>IF(TITLE_IST_PUB_CHANGE="",IF(TITLE_IST_PUB="","",TITLE_IST_PUB),TITLE_IST_PUB_CHANGE)</f>
        <v/>
      </c>
      <c r="W30" s="1105"/>
      <c r="X30" s="1105"/>
      <c r="Y30" s="1105"/>
      <c r="Z30" s="1105"/>
      <c r="AC30" s="1105"/>
      <c r="AD30" s="1105"/>
      <c r="AE30" s="1105"/>
      <c r="AF30" s="1105"/>
      <c r="AG30" s="1105"/>
      <c r="AH30" s="1105"/>
      <c r="AQ30" s="111">
        <v>0</v>
      </c>
    </row>
    <row r="31" spans="15:43" ht="14.25" hidden="1" customHeight="1">
      <c r="Q31" s="418"/>
      <c r="R31" s="333"/>
      <c r="S31" s="334"/>
      <c r="T31" s="38"/>
      <c r="U31" s="38"/>
      <c r="V31" s="335"/>
      <c r="W31" s="335"/>
      <c r="X31" s="335"/>
      <c r="Y31" s="335"/>
      <c r="Z31" s="335"/>
      <c r="AA31" s="335"/>
      <c r="AB31" s="335"/>
      <c r="AC31" s="335"/>
      <c r="AD31" s="335"/>
      <c r="AE31" s="335"/>
      <c r="AF31" s="335"/>
      <c r="AG31" s="335"/>
      <c r="AH31" s="335"/>
      <c r="AI31" s="335"/>
      <c r="AQ31" s="17">
        <v>0</v>
      </c>
    </row>
    <row r="32" spans="15:43" ht="18.75" hidden="1" customHeight="1">
      <c r="S32" s="1103" t="s">
        <v>424</v>
      </c>
      <c r="T32" s="1103"/>
      <c r="U32" s="337"/>
      <c r="V32" s="1104" t="str">
        <f>IF(TITLE_DATE_PR_CHANGE="",IF(TITLE_DATE_PR="","",TITLE_DATE_PR),TITLE_DATE_PR_CHANGE)</f>
        <v/>
      </c>
      <c r="W32" s="1104"/>
      <c r="X32" s="1104"/>
      <c r="Y32" s="1104"/>
      <c r="Z32" s="1104"/>
      <c r="AC32" s="1104"/>
      <c r="AD32" s="1104"/>
      <c r="AE32" s="1104"/>
      <c r="AF32" s="1104"/>
      <c r="AG32" s="1104"/>
      <c r="AH32" s="1104"/>
      <c r="AQ32" s="111">
        <v>0</v>
      </c>
    </row>
    <row r="33" spans="1:43" ht="18" hidden="1" customHeight="1">
      <c r="S33" s="1103" t="s">
        <v>425</v>
      </c>
      <c r="T33" s="1103"/>
      <c r="U33" s="337"/>
      <c r="V33" s="1105" t="str">
        <f>IF(TITLE_NUMBER_PR_CHANGE="",IF(TITLE_NUMBER_PR="","",TITLE_NUMBER_PR),TITLE_NUMBER_PR_CHANGE)</f>
        <v/>
      </c>
      <c r="W33" s="1105"/>
      <c r="X33" s="1105"/>
      <c r="Y33" s="1105"/>
      <c r="Z33" s="1105"/>
      <c r="AC33" s="1105"/>
      <c r="AD33" s="1105"/>
      <c r="AE33" s="1105"/>
      <c r="AF33" s="1105"/>
      <c r="AG33" s="1105"/>
      <c r="AH33" s="1105"/>
      <c r="AQ33" s="111">
        <v>0</v>
      </c>
    </row>
    <row r="34" spans="1:43" ht="1.1499999999999999" customHeight="1">
      <c r="AA34" s="75" t="s">
        <v>428</v>
      </c>
      <c r="AI34" s="75" t="s">
        <v>428</v>
      </c>
      <c r="AQ34" s="111">
        <v>1</v>
      </c>
    </row>
    <row r="35" spans="1:43" ht="14.65" customHeight="1">
      <c r="Q35" s="418"/>
      <c r="R35" s="333"/>
      <c r="S35" s="334"/>
      <c r="T35" s="38"/>
      <c r="U35" s="339"/>
      <c r="V35" s="1123"/>
      <c r="W35" s="1123"/>
      <c r="X35" s="1123"/>
      <c r="Y35" s="1123"/>
      <c r="Z35" s="1123"/>
      <c r="AA35" s="1123"/>
      <c r="AB35" s="340"/>
      <c r="AC35" s="1123"/>
      <c r="AD35" s="1123"/>
      <c r="AE35" s="1123"/>
      <c r="AF35" s="1123"/>
      <c r="AG35" s="1123"/>
      <c r="AH35" s="1123"/>
      <c r="AI35" s="1123"/>
      <c r="AQ35" s="17">
        <v>14</v>
      </c>
    </row>
    <row r="36" spans="1:43" ht="14.65" customHeight="1">
      <c r="Q36" s="418"/>
      <c r="R36" s="333"/>
      <c r="S36" s="995" t="s">
        <v>301</v>
      </c>
      <c r="T36" s="995"/>
      <c r="U36" s="995"/>
      <c r="V36" s="995"/>
      <c r="W36" s="995"/>
      <c r="X36" s="995"/>
      <c r="Y36" s="995"/>
      <c r="Z36" s="995"/>
      <c r="AA36" s="1046"/>
      <c r="AB36" s="1046"/>
      <c r="AC36" s="1046"/>
      <c r="AD36" s="995"/>
      <c r="AE36" s="995"/>
      <c r="AF36" s="995"/>
      <c r="AG36" s="995"/>
      <c r="AH36" s="995"/>
      <c r="AI36" s="995"/>
      <c r="AJ36" s="995"/>
      <c r="AK36" s="995" t="s">
        <v>302</v>
      </c>
      <c r="AQ36" s="17">
        <v>14</v>
      </c>
    </row>
    <row r="37" spans="1:43" ht="14.65" customHeight="1">
      <c r="Q37" s="418"/>
      <c r="R37" s="333"/>
      <c r="S37" s="1124" t="s">
        <v>88</v>
      </c>
      <c r="T37" s="1073" t="s">
        <v>500</v>
      </c>
      <c r="U37" s="341"/>
      <c r="V37" s="1126"/>
      <c r="W37" s="1126"/>
      <c r="X37" s="1126"/>
      <c r="Y37" s="1126"/>
      <c r="Z37" s="1126"/>
      <c r="AA37" s="1073" t="s">
        <v>431</v>
      </c>
      <c r="AB37" s="1072" t="s">
        <v>501</v>
      </c>
      <c r="AC37" s="1072" t="s">
        <v>475</v>
      </c>
      <c r="AD37" s="1141" t="s">
        <v>430</v>
      </c>
      <c r="AE37" s="1141"/>
      <c r="AF37" s="1126"/>
      <c r="AG37" s="1126"/>
      <c r="AH37" s="1127"/>
      <c r="AI37" s="1128" t="s">
        <v>431</v>
      </c>
      <c r="AJ37" s="1131" t="s">
        <v>433</v>
      </c>
      <c r="AK37" s="995"/>
      <c r="AQ37" s="17">
        <v>14</v>
      </c>
    </row>
    <row r="38" spans="1:43" ht="35.65" customHeight="1">
      <c r="Q38" s="418"/>
      <c r="R38" s="333"/>
      <c r="S38" s="1124"/>
      <c r="T38" s="1073"/>
      <c r="U38" s="343"/>
      <c r="V38" s="976" t="s">
        <v>478</v>
      </c>
      <c r="W38" s="995"/>
      <c r="X38" s="1047" t="s">
        <v>437</v>
      </c>
      <c r="Y38" s="1153"/>
      <c r="Z38" s="1153"/>
      <c r="AA38" s="1073"/>
      <c r="AB38" s="1072"/>
      <c r="AC38" s="1072"/>
      <c r="AD38" s="976" t="s">
        <v>478</v>
      </c>
      <c r="AE38" s="995"/>
      <c r="AF38" s="1153" t="s">
        <v>437</v>
      </c>
      <c r="AG38" s="1153"/>
      <c r="AH38" s="1048"/>
      <c r="AI38" s="1129"/>
      <c r="AJ38" s="1132"/>
      <c r="AK38" s="995"/>
      <c r="AQ38" s="17">
        <v>34</v>
      </c>
    </row>
    <row r="39" spans="1:43" ht="14.65" customHeight="1">
      <c r="Q39" s="418"/>
      <c r="R39" s="333"/>
      <c r="S39" s="1124"/>
      <c r="T39" s="1073"/>
      <c r="U39" s="343"/>
      <c r="V39" s="1177" t="str">
        <f>IF($AD$39&lt;&gt;"",$AD$39,"")</f>
        <v/>
      </c>
      <c r="W39" s="1177"/>
      <c r="X39" s="1052"/>
      <c r="Y39" s="1154"/>
      <c r="Z39" s="1154"/>
      <c r="AA39" s="1073"/>
      <c r="AB39" s="1072"/>
      <c r="AC39" s="1072"/>
      <c r="AD39" s="1186"/>
      <c r="AE39" s="1176"/>
      <c r="AF39" s="1154"/>
      <c r="AG39" s="1154"/>
      <c r="AH39" s="1053"/>
      <c r="AI39" s="1129"/>
      <c r="AJ39" s="1132"/>
      <c r="AK39" s="995"/>
      <c r="AQ39" s="17">
        <v>14</v>
      </c>
    </row>
    <row r="40" spans="1:43" ht="14.65" customHeight="1">
      <c r="B40" s="125" t="s">
        <v>138</v>
      </c>
      <c r="C40" s="125" t="s">
        <v>139</v>
      </c>
      <c r="D40" s="125" t="s">
        <v>140</v>
      </c>
      <c r="E40" s="358" t="s">
        <v>438</v>
      </c>
      <c r="F40" s="358" t="s">
        <v>439</v>
      </c>
      <c r="G40" s="358" t="s">
        <v>440</v>
      </c>
      <c r="H40" s="358" t="s">
        <v>441</v>
      </c>
      <c r="I40" s="358" t="s">
        <v>442</v>
      </c>
      <c r="J40" s="358" t="s">
        <v>443</v>
      </c>
      <c r="K40" s="358" t="s">
        <v>444</v>
      </c>
      <c r="L40" s="358" t="s">
        <v>419</v>
      </c>
      <c r="Q40" s="418"/>
      <c r="R40" s="333"/>
      <c r="S40" s="1124"/>
      <c r="T40" s="1073"/>
      <c r="U40" s="344"/>
      <c r="V40" s="189" t="s">
        <v>479</v>
      </c>
      <c r="W40" s="189" t="s">
        <v>480</v>
      </c>
      <c r="X40" s="134" t="s">
        <v>447</v>
      </c>
      <c r="Y40" s="1078" t="s">
        <v>448</v>
      </c>
      <c r="Z40" s="1091"/>
      <c r="AA40" s="1073"/>
      <c r="AB40" s="1072"/>
      <c r="AC40" s="1072"/>
      <c r="AD40" s="434" t="s">
        <v>479</v>
      </c>
      <c r="AE40" s="346" t="s">
        <v>480</v>
      </c>
      <c r="AF40" s="134" t="s">
        <v>447</v>
      </c>
      <c r="AG40" s="1078" t="s">
        <v>448</v>
      </c>
      <c r="AH40" s="1092"/>
      <c r="AI40" s="1130"/>
      <c r="AJ40" s="1133"/>
      <c r="AK40" s="995"/>
      <c r="AQ40" s="17">
        <v>14</v>
      </c>
    </row>
    <row r="41" spans="1:43" ht="11.25" hidden="1" customHeight="1">
      <c r="Q41" s="348"/>
      <c r="R41" s="348">
        <v>1</v>
      </c>
      <c r="S41" s="349" t="s">
        <v>110</v>
      </c>
      <c r="T41" s="350" t="s">
        <v>111</v>
      </c>
      <c r="U41" s="351" t="str">
        <f ca="1">OFFSET(U41,0,-1)</f>
        <v>2</v>
      </c>
      <c r="V41" s="352">
        <f ca="1">OFFSET(V41,0,-1)+1</f>
        <v>3</v>
      </c>
      <c r="W41" s="352">
        <f ca="1">OFFSET(W41,0,-1)+1</f>
        <v>4</v>
      </c>
      <c r="X41" s="352">
        <f ca="1">OFFSET(X41,0,-1)+1</f>
        <v>5</v>
      </c>
      <c r="Y41" s="1122">
        <f ca="1">OFFSET(Y41,0,-1)+1</f>
        <v>6</v>
      </c>
      <c r="Z41" s="1122"/>
      <c r="AA41" s="254">
        <f ca="1">OFFSET(AA41,0,-2)+1</f>
        <v>7</v>
      </c>
      <c r="AB41" s="254"/>
      <c r="AC41" s="254"/>
      <c r="AD41" s="352">
        <f ca="1">OFFSET(AD41,0,-1)+1</f>
        <v>1</v>
      </c>
      <c r="AE41" s="352">
        <f ca="1">OFFSET(AE41,0,-1)+1</f>
        <v>2</v>
      </c>
      <c r="AF41" s="352">
        <f ca="1">OFFSET(AF41,0,-1)+1</f>
        <v>3</v>
      </c>
      <c r="AG41" s="1122">
        <f ca="1">OFFSET(AG41,0,-1)+1</f>
        <v>4</v>
      </c>
      <c r="AH41" s="1122"/>
      <c r="AI41" s="352">
        <f ca="1">OFFSET(AI41,0,-2)+1</f>
        <v>5</v>
      </c>
      <c r="AJ41" s="351">
        <f ca="1">OFFSET(AJ41,0,-1)</f>
        <v>5</v>
      </c>
      <c r="AK41" s="352">
        <f ca="1">OFFSET(AK41,0,-1)+1</f>
        <v>6</v>
      </c>
      <c r="AQ41" s="258">
        <v>0</v>
      </c>
    </row>
    <row r="42" spans="1:43" ht="107.25" customHeight="1">
      <c r="A42" s="145" t="s">
        <v>207</v>
      </c>
      <c r="E42" s="1137">
        <v>1</v>
      </c>
      <c r="R42" s="294"/>
      <c r="S42" s="295">
        <f>INDEX(PT_DIFFERENTIATION_NUM_NTAR,MATCH(A42,PT_DIFFERENTIATION_NTAR_ID,0))</f>
        <v>0</v>
      </c>
      <c r="T42" s="296" t="s">
        <v>126</v>
      </c>
      <c r="U42" s="297"/>
      <c r="V42" s="1107"/>
      <c r="W42" s="1107"/>
      <c r="X42" s="1107"/>
      <c r="Y42" s="1107"/>
      <c r="Z42" s="1107"/>
      <c r="AA42" s="1108"/>
      <c r="AB42" s="298"/>
      <c r="AC42" s="1107" t="str">
        <f>INDEX(PT_DIFFERENTIATION_NTAR,MATCH(A42,PT_DIFFERENTIATION_NTAR_ID,0))</f>
        <v/>
      </c>
      <c r="AD42" s="1107"/>
      <c r="AE42" s="1107"/>
      <c r="AF42" s="1107"/>
      <c r="AG42" s="1107"/>
      <c r="AH42" s="1107"/>
      <c r="AI42" s="1107"/>
      <c r="AJ42" s="1108"/>
      <c r="AK42" s="2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87" t="str">
        <f t="shared" ref="AN42:AN56" si="1">IF(T42="","",T42)</f>
        <v>Наименование тарифа</v>
      </c>
      <c r="AQ42" s="17">
        <v>102</v>
      </c>
    </row>
    <row r="43" spans="1:43" ht="21.95" customHeight="1">
      <c r="A43" s="145" t="s">
        <v>207</v>
      </c>
      <c r="B43" s="145" t="s">
        <v>208</v>
      </c>
      <c r="E43" s="1138"/>
      <c r="F43" s="1137">
        <v>1</v>
      </c>
      <c r="Q43" s="397"/>
      <c r="R43" s="301"/>
      <c r="S43" s="295" t="str">
        <f>INDEX(PT_DIFFERENTIATION_NUM_TER,MATCH(B43,PT_DIFFERENTIATION_TER_ID,0))</f>
        <v>.</v>
      </c>
      <c r="T43" s="302" t="s">
        <v>398</v>
      </c>
      <c r="U43" s="297"/>
      <c r="V43" s="1107"/>
      <c r="W43" s="1107"/>
      <c r="X43" s="1107"/>
      <c r="Y43" s="1107"/>
      <c r="Z43" s="1107"/>
      <c r="AA43" s="1108"/>
      <c r="AB43" s="298"/>
      <c r="AC43" s="1107" t="str">
        <f>INDEX(PT_DIFFERENTIATION_TER,MATCH(B43,PT_DIFFERENTIATION_TER_ID,0))</f>
        <v/>
      </c>
      <c r="AD43" s="1107"/>
      <c r="AE43" s="1107"/>
      <c r="AF43" s="1107"/>
      <c r="AG43" s="1107"/>
      <c r="AH43" s="1107"/>
      <c r="AI43" s="1107"/>
      <c r="AJ43" s="1108"/>
      <c r="AK43" s="299" t="s">
        <v>399</v>
      </c>
      <c r="AN43" s="87" t="str">
        <f t="shared" si="1"/>
        <v>Территория действия тарифа</v>
      </c>
      <c r="AQ43" s="17">
        <v>21</v>
      </c>
    </row>
    <row r="44" spans="1:43" ht="24" customHeight="1">
      <c r="A44" s="145" t="s">
        <v>207</v>
      </c>
      <c r="B44" s="145" t="s">
        <v>208</v>
      </c>
      <c r="C44" s="145" t="s">
        <v>209</v>
      </c>
      <c r="E44" s="1138"/>
      <c r="F44" s="1138"/>
      <c r="G44" s="1137">
        <v>1</v>
      </c>
      <c r="Q44" s="397"/>
      <c r="R44" s="301"/>
      <c r="S44" s="295" t="str">
        <f>INDEX(PT_DIFFERENTIATION_NUM_CS,MATCH(C44,PT_DIFFERENTIATION_CS_ID,0))</f>
        <v>..</v>
      </c>
      <c r="T44" s="303" t="s">
        <v>400</v>
      </c>
      <c r="U44" s="297"/>
      <c r="V44" s="1107"/>
      <c r="W44" s="1107"/>
      <c r="X44" s="1107"/>
      <c r="Y44" s="1107"/>
      <c r="Z44" s="1107"/>
      <c r="AA44" s="1108"/>
      <c r="AB44" s="298"/>
      <c r="AC44" s="1107" t="str">
        <f>INDEX(PT_DIFFERENTIATION_CS,MATCH(C44,PT_DIFFERENTIATION_CS_ID,0))</f>
        <v/>
      </c>
      <c r="AD44" s="1107"/>
      <c r="AE44" s="1107"/>
      <c r="AF44" s="1107"/>
      <c r="AG44" s="1107"/>
      <c r="AH44" s="1107"/>
      <c r="AI44" s="1107"/>
      <c r="AJ44" s="1108"/>
      <c r="AK44" s="299" t="s">
        <v>401</v>
      </c>
      <c r="AN44" s="87" t="str">
        <f t="shared" si="1"/>
        <v xml:space="preserve">Наименование системы теплоснабжения </v>
      </c>
      <c r="AQ44" s="17">
        <v>23</v>
      </c>
    </row>
    <row r="45" spans="1:43" ht="21.95" customHeight="1">
      <c r="A45" s="145" t="s">
        <v>207</v>
      </c>
      <c r="B45" s="145" t="s">
        <v>208</v>
      </c>
      <c r="C45" s="145" t="s">
        <v>209</v>
      </c>
      <c r="D45" s="145" t="s">
        <v>210</v>
      </c>
      <c r="E45" s="1138"/>
      <c r="F45" s="1138"/>
      <c r="G45" s="1138"/>
      <c r="H45" s="1137">
        <v>1</v>
      </c>
      <c r="Q45" s="397"/>
      <c r="R45" s="301"/>
      <c r="S45" s="295" t="str">
        <f>INDEX(PT_DIFFERENTIATION_NUM_IST_TE,MATCH(D45,PT_DIFFERENTIATION_IST_TE_ID,0))</f>
        <v>...</v>
      </c>
      <c r="T45" s="304" t="s">
        <v>402</v>
      </c>
      <c r="U45" s="297"/>
      <c r="V45" s="1107"/>
      <c r="W45" s="1107"/>
      <c r="X45" s="1107"/>
      <c r="Y45" s="1107"/>
      <c r="Z45" s="1107"/>
      <c r="AA45" s="1108"/>
      <c r="AB45" s="298"/>
      <c r="AC45" s="1107" t="str">
        <f>INDEX(PT_DIFFERENTIATION_IST_TE,MATCH(D45,PT_DIFFERENTIATION_IST_TE_ID,0))</f>
        <v/>
      </c>
      <c r="AD45" s="1107"/>
      <c r="AE45" s="1107"/>
      <c r="AF45" s="1107"/>
      <c r="AG45" s="1107"/>
      <c r="AH45" s="1107"/>
      <c r="AI45" s="1107"/>
      <c r="AJ45" s="1108"/>
      <c r="AK45" s="299" t="s">
        <v>403</v>
      </c>
      <c r="AN45" s="87" t="str">
        <f t="shared" si="1"/>
        <v xml:space="preserve">Источник тепловой энергии  </v>
      </c>
      <c r="AQ45" s="17">
        <v>21</v>
      </c>
    </row>
    <row r="46" spans="1:43" ht="0" hidden="1" customHeight="1">
      <c r="A46" s="360" t="s">
        <v>207</v>
      </c>
      <c r="B46" s="360" t="s">
        <v>208</v>
      </c>
      <c r="C46" s="360" t="s">
        <v>209</v>
      </c>
      <c r="D46" s="360" t="s">
        <v>210</v>
      </c>
      <c r="E46" s="1138"/>
      <c r="F46" s="1138"/>
      <c r="G46" s="1138"/>
      <c r="H46" s="1138"/>
      <c r="I46" s="995" t="str">
        <f>S45&amp;".1"</f>
        <v>....1</v>
      </c>
      <c r="L46" s="396" t="s">
        <v>404</v>
      </c>
      <c r="P46" s="1115">
        <v>1</v>
      </c>
      <c r="R46" s="307"/>
      <c r="S46" s="193"/>
      <c r="T46" s="363"/>
      <c r="U46" s="364"/>
      <c r="V46" s="1143"/>
      <c r="W46" s="1143"/>
      <c r="X46" s="1143"/>
      <c r="Y46" s="1143"/>
      <c r="Z46" s="1143"/>
      <c r="AA46" s="1144"/>
      <c r="AB46" s="365"/>
      <c r="AC46" s="1143"/>
      <c r="AD46" s="1143"/>
      <c r="AE46" s="1143"/>
      <c r="AF46" s="1143"/>
      <c r="AG46" s="1143"/>
      <c r="AH46" s="1143"/>
      <c r="AI46" s="1143"/>
      <c r="AJ46" s="1144"/>
      <c r="AK46" s="366"/>
      <c r="AN46" s="87" t="str">
        <f t="shared" si="1"/>
        <v/>
      </c>
      <c r="AQ46" s="75">
        <v>0</v>
      </c>
    </row>
    <row r="47" spans="1:43" ht="0" hidden="1" customHeight="1">
      <c r="A47" s="360" t="s">
        <v>207</v>
      </c>
      <c r="B47" s="360" t="s">
        <v>208</v>
      </c>
      <c r="C47" s="360" t="s">
        <v>209</v>
      </c>
      <c r="D47" s="360" t="s">
        <v>210</v>
      </c>
      <c r="E47" s="1138"/>
      <c r="F47" s="1138"/>
      <c r="G47" s="1138"/>
      <c r="H47" s="1138"/>
      <c r="I47" s="977"/>
      <c r="J47" s="995" t="str">
        <f>S45&amp;".1"</f>
        <v>....1</v>
      </c>
      <c r="P47" s="964"/>
      <c r="Q47" s="1115">
        <v>1</v>
      </c>
      <c r="R47" s="309"/>
      <c r="S47" s="193"/>
      <c r="T47" s="398"/>
      <c r="U47" s="364"/>
      <c r="V47" s="1143"/>
      <c r="W47" s="1143"/>
      <c r="X47" s="1143"/>
      <c r="Y47" s="1143"/>
      <c r="Z47" s="1143"/>
      <c r="AA47" s="1144"/>
      <c r="AB47" s="365"/>
      <c r="AC47" s="1143"/>
      <c r="AD47" s="1143"/>
      <c r="AE47" s="1143"/>
      <c r="AF47" s="1143"/>
      <c r="AG47" s="1143"/>
      <c r="AH47" s="1143"/>
      <c r="AI47" s="1143"/>
      <c r="AJ47" s="1144"/>
      <c r="AK47" s="366"/>
      <c r="AN47" s="87" t="str">
        <f t="shared" si="1"/>
        <v/>
      </c>
      <c r="AQ47" s="75">
        <v>0</v>
      </c>
    </row>
    <row r="48" spans="1:43" ht="21.95" customHeight="1">
      <c r="A48" s="145" t="s">
        <v>207</v>
      </c>
      <c r="B48" s="145" t="s">
        <v>208</v>
      </c>
      <c r="C48" s="145" t="s">
        <v>209</v>
      </c>
      <c r="D48" s="145" t="s">
        <v>210</v>
      </c>
      <c r="E48" s="1138"/>
      <c r="F48" s="1138"/>
      <c r="G48" s="1138"/>
      <c r="H48" s="1138"/>
      <c r="I48" s="977"/>
      <c r="J48" s="977"/>
      <c r="K48" s="88" t="str">
        <f>S45&amp;".1"</f>
        <v>....1</v>
      </c>
      <c r="P48" s="964"/>
      <c r="Q48" s="964"/>
      <c r="R48" s="309">
        <v>1</v>
      </c>
      <c r="S48" s="372" t="str">
        <f>$K48</f>
        <v>....1</v>
      </c>
      <c r="T48" s="400"/>
      <c r="U48" s="297"/>
      <c r="V48" s="312"/>
      <c r="W48" s="314"/>
      <c r="X48" s="315"/>
      <c r="Y48" s="122" t="s">
        <v>66</v>
      </c>
      <c r="Z48" s="315"/>
      <c r="AA48" s="122" t="s">
        <v>66</v>
      </c>
      <c r="AB48" s="431"/>
      <c r="AC48" s="432" t="s">
        <v>22</v>
      </c>
      <c r="AD48" s="312"/>
      <c r="AE48" s="314"/>
      <c r="AF48" s="315"/>
      <c r="AG48" s="122" t="s">
        <v>66</v>
      </c>
      <c r="AH48" s="315"/>
      <c r="AI48" s="122" t="s">
        <v>66</v>
      </c>
      <c r="AJ48" s="354"/>
      <c r="AK48" s="1134" t="s">
        <v>481</v>
      </c>
      <c r="AL48" s="75" t="e">
        <f ca="1">STRCHECKDATE(#REF!)</f>
        <v>#NAME?</v>
      </c>
      <c r="AN48" s="87" t="str">
        <f t="shared" si="1"/>
        <v/>
      </c>
      <c r="AQ48" s="17">
        <v>21</v>
      </c>
    </row>
    <row r="49" spans="1:43" ht="11.45" customHeight="1">
      <c r="A49" s="145" t="s">
        <v>207</v>
      </c>
      <c r="B49" s="145" t="s">
        <v>208</v>
      </c>
      <c r="C49" s="145" t="s">
        <v>209</v>
      </c>
      <c r="D49" s="145" t="s">
        <v>210</v>
      </c>
      <c r="E49" s="1138"/>
      <c r="F49" s="1138"/>
      <c r="G49" s="1138"/>
      <c r="H49" s="1138"/>
      <c r="I49" s="977"/>
      <c r="J49" s="995"/>
      <c r="P49" s="964"/>
      <c r="Q49" s="964"/>
      <c r="R49" s="307"/>
      <c r="S49" s="318"/>
      <c r="T49" s="321" t="s">
        <v>469</v>
      </c>
      <c r="U49" s="117"/>
      <c r="V49" s="117"/>
      <c r="W49" s="117"/>
      <c r="X49" s="117"/>
      <c r="Y49" s="117"/>
      <c r="Z49" s="117"/>
      <c r="AA49" s="320"/>
      <c r="AB49" s="117"/>
      <c r="AC49" s="117"/>
      <c r="AD49" s="117"/>
      <c r="AE49" s="117"/>
      <c r="AF49" s="117"/>
      <c r="AG49" s="117"/>
      <c r="AH49" s="117"/>
      <c r="AI49" s="117"/>
      <c r="AJ49" s="320"/>
      <c r="AK49" s="1136"/>
      <c r="AN49" s="87" t="str">
        <f t="shared" si="1"/>
        <v>Добавить строку</v>
      </c>
      <c r="AQ49" s="17">
        <v>11</v>
      </c>
    </row>
    <row r="50" spans="1:43" ht="1.1499999999999999" customHeight="1">
      <c r="A50" s="360" t="s">
        <v>207</v>
      </c>
      <c r="B50" s="360" t="s">
        <v>208</v>
      </c>
      <c r="C50" s="360" t="s">
        <v>209</v>
      </c>
      <c r="D50" s="360" t="s">
        <v>210</v>
      </c>
      <c r="E50" s="1138"/>
      <c r="F50" s="1138"/>
      <c r="G50" s="1138"/>
      <c r="H50" s="1138"/>
      <c r="I50" s="995"/>
      <c r="P50" s="964"/>
      <c r="R50" s="307"/>
      <c r="S50" s="367"/>
      <c r="T50" s="368" t="s">
        <v>413</v>
      </c>
      <c r="U50" s="369"/>
      <c r="V50" s="369"/>
      <c r="W50" s="369"/>
      <c r="X50" s="369"/>
      <c r="Y50" s="369"/>
      <c r="Z50" s="369"/>
      <c r="AA50" s="369"/>
      <c r="AB50" s="369"/>
      <c r="AC50" s="369"/>
      <c r="AD50" s="369"/>
      <c r="AE50" s="369"/>
      <c r="AF50" s="369"/>
      <c r="AG50" s="369"/>
      <c r="AH50" s="369"/>
      <c r="AI50" s="369"/>
      <c r="AJ50" s="369"/>
      <c r="AK50" s="370"/>
      <c r="AN50" s="87" t="str">
        <f t="shared" si="1"/>
        <v>Добавить группу потребителей</v>
      </c>
      <c r="AQ50" s="75">
        <v>1</v>
      </c>
    </row>
    <row r="51" spans="1:43" ht="1.1499999999999999" customHeight="1">
      <c r="A51" s="360" t="s">
        <v>207</v>
      </c>
      <c r="B51" s="360" t="s">
        <v>208</v>
      </c>
      <c r="C51" s="360" t="s">
        <v>209</v>
      </c>
      <c r="D51" s="360" t="s">
        <v>210</v>
      </c>
      <c r="E51" s="1138"/>
      <c r="F51" s="1138"/>
      <c r="G51" s="1138"/>
      <c r="H51" s="1137"/>
      <c r="R51" s="423"/>
      <c r="S51" s="367"/>
      <c r="T51" s="368"/>
      <c r="U51" s="369"/>
      <c r="V51" s="369"/>
      <c r="W51" s="369"/>
      <c r="X51" s="369"/>
      <c r="Y51" s="369"/>
      <c r="Z51" s="369"/>
      <c r="AA51" s="369"/>
      <c r="AB51" s="369"/>
      <c r="AC51" s="369"/>
      <c r="AD51" s="369"/>
      <c r="AE51" s="369"/>
      <c r="AF51" s="369"/>
      <c r="AG51" s="369"/>
      <c r="AH51" s="369"/>
      <c r="AI51" s="369"/>
      <c r="AJ51" s="369"/>
      <c r="AK51" s="370"/>
      <c r="AN51" s="87" t="str">
        <f t="shared" si="1"/>
        <v/>
      </c>
      <c r="AQ51" s="258">
        <v>1</v>
      </c>
    </row>
    <row r="52" spans="1:43" ht="1.1499999999999999" customHeight="1">
      <c r="A52" s="360" t="s">
        <v>207</v>
      </c>
      <c r="B52" s="360" t="s">
        <v>208</v>
      </c>
      <c r="C52" s="360" t="s">
        <v>209</v>
      </c>
      <c r="E52" s="1138"/>
      <c r="F52" s="1138"/>
      <c r="G52" s="1137"/>
      <c r="T52" s="329" t="s">
        <v>415</v>
      </c>
      <c r="AN52" s="87" t="str">
        <f t="shared" si="1"/>
        <v>Добавить источник для дифференциации</v>
      </c>
      <c r="AQ52" s="75">
        <v>1</v>
      </c>
    </row>
    <row r="53" spans="1:43" ht="1.1499999999999999" customHeight="1">
      <c r="A53" s="360" t="s">
        <v>207</v>
      </c>
      <c r="B53" s="360" t="s">
        <v>208</v>
      </c>
      <c r="E53" s="1138"/>
      <c r="F53" s="1137"/>
      <c r="T53" s="329" t="s">
        <v>416</v>
      </c>
      <c r="AN53" s="87" t="str">
        <f t="shared" si="1"/>
        <v>Добавить централизованную систему для дифференциации</v>
      </c>
      <c r="AQ53" s="75">
        <v>1</v>
      </c>
    </row>
    <row r="54" spans="1:43" ht="1.1499999999999999" customHeight="1">
      <c r="A54" s="360" t="s">
        <v>207</v>
      </c>
      <c r="E54" s="1138"/>
      <c r="T54" s="329" t="s">
        <v>417</v>
      </c>
      <c r="AN54" s="87" t="str">
        <f t="shared" si="1"/>
        <v>Добавить территорию для дифференциации</v>
      </c>
      <c r="AQ54" s="75">
        <v>1</v>
      </c>
    </row>
    <row r="55" spans="1:43" ht="1.1499999999999999" customHeight="1">
      <c r="A55" s="360" t="s">
        <v>207</v>
      </c>
      <c r="E55" s="1137"/>
      <c r="T55" s="329" t="s">
        <v>417</v>
      </c>
      <c r="AN55" s="87" t="str">
        <f t="shared" si="1"/>
        <v>Добавить территорию для дифференциации</v>
      </c>
      <c r="AQ55" s="75">
        <v>1</v>
      </c>
    </row>
    <row r="56" spans="1:43" ht="1.1499999999999999" customHeight="1">
      <c r="T56" s="329" t="s">
        <v>449</v>
      </c>
      <c r="AN56" s="87" t="str">
        <f t="shared" si="1"/>
        <v>Добавить наименование тарифа</v>
      </c>
      <c r="AQ56" s="75">
        <v>1</v>
      </c>
    </row>
    <row r="57" spans="1:43" ht="11.45" customHeight="1">
      <c r="AQ57" s="17">
        <v>11</v>
      </c>
    </row>
    <row r="58" spans="1:43" ht="19.899999999999999" customHeight="1">
      <c r="T58" s="964"/>
      <c r="U58" s="964"/>
      <c r="V58" s="964"/>
      <c r="W58" s="964"/>
      <c r="X58" s="964"/>
      <c r="Y58" s="964"/>
      <c r="Z58" s="964"/>
      <c r="AA58" s="964"/>
      <c r="AB58" s="964"/>
      <c r="AC58" s="964"/>
      <c r="AD58" s="964"/>
      <c r="AE58" s="964"/>
      <c r="AF58" s="964"/>
      <c r="AG58" s="964"/>
      <c r="AH58" s="964"/>
      <c r="AI58" s="964"/>
      <c r="AJ58" s="964"/>
      <c r="AK58" s="964"/>
      <c r="AQ58" s="17">
        <v>19</v>
      </c>
    </row>
    <row r="59" spans="1:43" ht="21" customHeight="1">
      <c r="T59" s="964"/>
      <c r="U59" s="964"/>
      <c r="V59" s="964"/>
      <c r="W59" s="964"/>
      <c r="X59" s="964"/>
      <c r="Y59" s="964"/>
      <c r="Z59" s="964"/>
      <c r="AA59" s="964"/>
      <c r="AB59" s="964"/>
      <c r="AC59" s="964"/>
      <c r="AD59" s="964"/>
      <c r="AE59" s="964"/>
      <c r="AF59" s="964"/>
      <c r="AG59" s="964"/>
      <c r="AH59" s="964"/>
      <c r="AI59" s="964"/>
      <c r="AJ59" s="964"/>
      <c r="AK59" s="964"/>
      <c r="AQ59" s="17">
        <v>20</v>
      </c>
    </row>
    <row r="60" spans="1:43" ht="14.65" customHeight="1">
      <c r="AQ60" s="17">
        <v>14</v>
      </c>
    </row>
    <row r="61" spans="1:43" ht="19.899999999999999" customHeight="1">
      <c r="T61" s="964"/>
      <c r="U61" s="964"/>
      <c r="V61" s="964"/>
      <c r="W61" s="964"/>
      <c r="X61" s="964"/>
      <c r="Y61" s="964"/>
      <c r="Z61" s="964"/>
      <c r="AA61" s="964"/>
      <c r="AB61" s="964"/>
      <c r="AC61" s="964"/>
      <c r="AD61" s="964"/>
      <c r="AE61" s="964"/>
      <c r="AF61" s="964"/>
      <c r="AG61" s="964"/>
      <c r="AH61" s="964"/>
      <c r="AI61" s="964"/>
      <c r="AJ61" s="964"/>
      <c r="AK61" s="964"/>
      <c r="AQ61" s="17">
        <v>19</v>
      </c>
    </row>
    <row r="62" spans="1:43" ht="16.899999999999999" customHeight="1">
      <c r="T62" s="964"/>
      <c r="U62" s="964"/>
      <c r="V62" s="964"/>
      <c r="W62" s="964"/>
      <c r="X62" s="964"/>
      <c r="Y62" s="964"/>
      <c r="Z62" s="964"/>
      <c r="AA62" s="964"/>
      <c r="AB62" s="964"/>
      <c r="AC62" s="964"/>
      <c r="AD62" s="964"/>
      <c r="AE62" s="964"/>
      <c r="AF62" s="964"/>
      <c r="AG62" s="964"/>
      <c r="AH62" s="964"/>
      <c r="AI62" s="964"/>
      <c r="AJ62" s="964"/>
      <c r="AK62" s="964"/>
      <c r="AQ62" s="17">
        <v>16</v>
      </c>
    </row>
    <row r="63" spans="1:43" ht="14.65" customHeight="1">
      <c r="AQ63" s="17">
        <v>14</v>
      </c>
    </row>
    <row r="64" spans="1:43" ht="22.5" hidden="1" customHeight="1">
      <c r="A64" s="17" t="s">
        <v>82</v>
      </c>
      <c r="B64" s="17">
        <v>0</v>
      </c>
      <c r="C64" s="17">
        <v>0</v>
      </c>
      <c r="D64" s="17">
        <v>0</v>
      </c>
      <c r="E64" s="17">
        <v>0</v>
      </c>
      <c r="F64" s="17">
        <v>0</v>
      </c>
      <c r="G64" s="17">
        <v>0</v>
      </c>
      <c r="H64" s="17">
        <v>0</v>
      </c>
      <c r="I64" s="17">
        <v>0</v>
      </c>
      <c r="J64" s="17">
        <v>0</v>
      </c>
      <c r="K64" s="17">
        <v>0</v>
      </c>
      <c r="L64" s="47">
        <v>0</v>
      </c>
      <c r="M64" s="356">
        <v>0</v>
      </c>
      <c r="N64" s="356">
        <v>0</v>
      </c>
      <c r="O64" s="356">
        <v>0</v>
      </c>
      <c r="P64" s="41">
        <v>3</v>
      </c>
      <c r="Q64" s="424">
        <v>3</v>
      </c>
      <c r="R64" s="357">
        <v>3</v>
      </c>
      <c r="S64" s="33">
        <v>12</v>
      </c>
      <c r="T64" s="17">
        <v>31</v>
      </c>
      <c r="U64" s="17">
        <v>0</v>
      </c>
      <c r="V64" s="17">
        <v>0</v>
      </c>
      <c r="W64" s="17">
        <v>0</v>
      </c>
      <c r="X64" s="17">
        <v>0</v>
      </c>
      <c r="Y64" s="17">
        <v>0</v>
      </c>
      <c r="Z64" s="17">
        <v>0</v>
      </c>
      <c r="AA64" s="17">
        <v>0</v>
      </c>
      <c r="AB64" s="17">
        <v>27</v>
      </c>
      <c r="AC64" s="17">
        <v>24</v>
      </c>
      <c r="AD64" s="17">
        <v>21</v>
      </c>
      <c r="AE64" s="17">
        <v>21</v>
      </c>
      <c r="AF64" s="17">
        <v>11</v>
      </c>
      <c r="AG64" s="17">
        <v>3</v>
      </c>
      <c r="AH64" s="17">
        <v>11</v>
      </c>
      <c r="AI64" s="17">
        <v>8</v>
      </c>
      <c r="AJ64" s="17">
        <v>4</v>
      </c>
      <c r="AK64" s="17">
        <v>115</v>
      </c>
      <c r="AL64" s="75">
        <v>10</v>
      </c>
      <c r="AM64" s="75">
        <v>10</v>
      </c>
      <c r="AN64" s="75">
        <v>10</v>
      </c>
      <c r="AO64" s="75">
        <v>10</v>
      </c>
      <c r="AP64" s="75">
        <v>10</v>
      </c>
      <c r="AQ64" s="1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4CBD-8736-7EEF-D29F-0CDE39FC28F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c r="BI1" s="17" t="s">
        <v>14</v>
      </c>
    </row>
    <row r="2" spans="5:61" ht="21" hidden="1" customHeight="1">
      <c r="E2" s="1111">
        <v>1</v>
      </c>
      <c r="R2" s="294"/>
      <c r="S2" s="295" t="e">
        <f>INDEX(PT_DIFFERENTIATION_NUM_NTAR,MATCH(A2,PT_DIFFERENTIATION_NTAR_ID,0))</f>
        <v>#N/A</v>
      </c>
      <c r="T2" s="296" t="s">
        <v>126</v>
      </c>
      <c r="U2" s="297"/>
      <c r="V2" s="1107"/>
      <c r="W2" s="1107"/>
      <c r="X2" s="1107"/>
      <c r="Y2" s="1107"/>
      <c r="Z2" s="1107"/>
      <c r="AA2" s="1107"/>
      <c r="AB2" s="1107"/>
      <c r="AC2" s="1108"/>
      <c r="AD2" s="1106" t="e">
        <f>INDEX(PT_DIFFERENTIATION_NTAR,MATCH(A2,PT_DIFFERENTIATION_NTAR_ID,0))</f>
        <v>#N/A</v>
      </c>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8"/>
      <c r="BC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87" t="str">
        <f t="shared" ref="BF2:BF8" si="0">IF(T2="","",T2)</f>
        <v>Наименование тарифа</v>
      </c>
      <c r="BI2" s="17">
        <v>0</v>
      </c>
    </row>
    <row r="3" spans="5:61" ht="21" hidden="1" customHeight="1">
      <c r="E3" s="1112"/>
      <c r="F3" s="1111">
        <v>1</v>
      </c>
      <c r="Q3" s="397"/>
      <c r="R3" s="301"/>
      <c r="S3" s="295" t="e">
        <f>INDEX(PT_DIFFERENTIATION_NUM_TER,MATCH(B3,PT_DIFFERENTIATION_TER_ID,0))</f>
        <v>#N/A</v>
      </c>
      <c r="T3" s="302" t="s">
        <v>398</v>
      </c>
      <c r="U3" s="297"/>
      <c r="V3" s="1107"/>
      <c r="W3" s="1107"/>
      <c r="X3" s="1107"/>
      <c r="Y3" s="1107"/>
      <c r="Z3" s="1107"/>
      <c r="AA3" s="1107"/>
      <c r="AB3" s="1107"/>
      <c r="AC3" s="1108"/>
      <c r="AD3" s="1106" t="e">
        <f>INDEX(PT_DIFFERENTIATION_TER,MATCH(B3,PT_DIFFERENTIATION_TER_ID,0))</f>
        <v>#N/A</v>
      </c>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8"/>
      <c r="BC3" s="299" t="s">
        <v>399</v>
      </c>
      <c r="BF3" s="87" t="str">
        <f t="shared" si="0"/>
        <v>Территория действия тарифа</v>
      </c>
      <c r="BI3" s="17">
        <v>0</v>
      </c>
    </row>
    <row r="4" spans="5:61" ht="42" hidden="1" customHeight="1">
      <c r="E4" s="1112"/>
      <c r="F4" s="1112"/>
      <c r="G4" s="1111">
        <v>1</v>
      </c>
      <c r="Q4" s="397"/>
      <c r="R4" s="301"/>
      <c r="S4" s="295" t="e">
        <f>INDEX(PT_DIFFERENTIATION_NUM_CS,MATCH(C4,PT_DIFFERENTIATION_CS_ID,0))</f>
        <v>#N/A</v>
      </c>
      <c r="T4" s="303" t="s">
        <v>482</v>
      </c>
      <c r="U4" s="297"/>
      <c r="V4" s="1107"/>
      <c r="W4" s="1107"/>
      <c r="X4" s="1107"/>
      <c r="Y4" s="1107"/>
      <c r="Z4" s="1107"/>
      <c r="AA4" s="1107"/>
      <c r="AB4" s="1107"/>
      <c r="AC4" s="1108"/>
      <c r="AD4" s="1106" t="e">
        <f>INDEX(PT_DIFFERENTIATION_CS,MATCH(C4,PT_DIFFERENTIATION_CS_ID,0))</f>
        <v>#N/A</v>
      </c>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8"/>
      <c r="BC4" s="299" t="s">
        <v>483</v>
      </c>
      <c r="BF4" s="87" t="str">
        <f t="shared" si="0"/>
        <v>Наименование централизованной системы холодного водоснабжения</v>
      </c>
      <c r="BI4" s="17">
        <v>0</v>
      </c>
    </row>
    <row r="5" spans="5:61" ht="14.25" hidden="1" customHeight="1">
      <c r="E5" s="1112"/>
      <c r="F5" s="1112"/>
      <c r="G5" s="1112"/>
      <c r="H5" s="1111">
        <v>1</v>
      </c>
      <c r="Q5" s="435"/>
      <c r="R5" s="309"/>
      <c r="S5" s="193"/>
      <c r="T5" s="436"/>
      <c r="U5" s="364"/>
      <c r="V5" s="1143"/>
      <c r="W5" s="1143"/>
      <c r="X5" s="1143"/>
      <c r="Y5" s="1143"/>
      <c r="Z5" s="1143"/>
      <c r="AA5" s="1143"/>
      <c r="AB5" s="1143"/>
      <c r="AC5" s="1144"/>
      <c r="AD5" s="1142"/>
      <c r="AE5" s="1143"/>
      <c r="AF5" s="1143"/>
      <c r="AG5" s="1143"/>
      <c r="AH5" s="1143"/>
      <c r="AI5" s="1143"/>
      <c r="AJ5" s="1143"/>
      <c r="AK5" s="1143"/>
      <c r="AL5" s="1143"/>
      <c r="AM5" s="1143"/>
      <c r="AN5" s="1143"/>
      <c r="AO5" s="1143"/>
      <c r="AP5" s="1143"/>
      <c r="AQ5" s="1143"/>
      <c r="AR5" s="1143"/>
      <c r="AS5" s="1143"/>
      <c r="AT5" s="1143"/>
      <c r="AU5" s="1143"/>
      <c r="AV5" s="1143"/>
      <c r="AW5" s="1143"/>
      <c r="AX5" s="1143"/>
      <c r="AY5" s="1143"/>
      <c r="AZ5" s="1143"/>
      <c r="BA5" s="1143"/>
      <c r="BB5" s="1144"/>
      <c r="BC5" s="366" t="s">
        <v>403</v>
      </c>
      <c r="BF5" s="87" t="str">
        <f t="shared" si="0"/>
        <v/>
      </c>
      <c r="BI5" s="75">
        <v>0</v>
      </c>
    </row>
    <row r="6" spans="5:61" ht="14.25" hidden="1" customHeight="1">
      <c r="E6" s="1112"/>
      <c r="F6" s="1112"/>
      <c r="G6" s="1112"/>
      <c r="H6" s="1112"/>
      <c r="I6" s="1113" t="str">
        <f>S5&amp;".1"</f>
        <v>.1</v>
      </c>
      <c r="L6" s="371" t="s">
        <v>404</v>
      </c>
      <c r="P6" s="1115">
        <v>1</v>
      </c>
      <c r="R6" s="307"/>
      <c r="S6" s="193"/>
      <c r="T6" s="363"/>
      <c r="U6" s="364"/>
      <c r="V6" s="1143"/>
      <c r="W6" s="1143"/>
      <c r="X6" s="1143"/>
      <c r="Y6" s="1143"/>
      <c r="Z6" s="1143"/>
      <c r="AA6" s="1143"/>
      <c r="AB6" s="1143"/>
      <c r="AC6" s="1144"/>
      <c r="AD6" s="1142"/>
      <c r="AE6" s="1143"/>
      <c r="AF6" s="1143"/>
      <c r="AG6" s="1143"/>
      <c r="AH6" s="1143"/>
      <c r="AI6" s="1143"/>
      <c r="AJ6" s="1143"/>
      <c r="AK6" s="1143"/>
      <c r="AL6" s="1143"/>
      <c r="AM6" s="1143"/>
      <c r="AN6" s="1143"/>
      <c r="AO6" s="1143"/>
      <c r="AP6" s="1143"/>
      <c r="AQ6" s="1143"/>
      <c r="AR6" s="1143"/>
      <c r="AS6" s="1143"/>
      <c r="AT6" s="1143"/>
      <c r="AU6" s="1143"/>
      <c r="AV6" s="1143"/>
      <c r="AW6" s="1143"/>
      <c r="AX6" s="1143"/>
      <c r="AY6" s="1143"/>
      <c r="AZ6" s="1143"/>
      <c r="BA6" s="1143"/>
      <c r="BB6" s="1144"/>
      <c r="BC6" s="366"/>
      <c r="BF6" s="87" t="str">
        <f t="shared" si="0"/>
        <v/>
      </c>
      <c r="BI6" s="75">
        <v>0</v>
      </c>
    </row>
    <row r="7" spans="5:61" ht="14.25" hidden="1" customHeight="1">
      <c r="E7" s="1112"/>
      <c r="F7" s="1112"/>
      <c r="G7" s="1112"/>
      <c r="H7" s="1112"/>
      <c r="I7" s="1114"/>
      <c r="J7" s="1113" t="str">
        <f>S5&amp;".1"</f>
        <v>.1</v>
      </c>
      <c r="P7" s="964"/>
      <c r="Q7" s="1115">
        <v>1</v>
      </c>
      <c r="R7" s="309"/>
      <c r="S7" s="193"/>
      <c r="T7" s="398"/>
      <c r="U7" s="364"/>
      <c r="V7" s="1143"/>
      <c r="W7" s="1143"/>
      <c r="X7" s="1143"/>
      <c r="Y7" s="1143"/>
      <c r="Z7" s="1143"/>
      <c r="AA7" s="1143"/>
      <c r="AB7" s="1143"/>
      <c r="AC7" s="1144"/>
      <c r="AD7" s="1142"/>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4"/>
      <c r="BC7" s="366"/>
      <c r="BF7" s="87" t="str">
        <f t="shared" si="0"/>
        <v/>
      </c>
      <c r="BI7" s="75">
        <v>0</v>
      </c>
    </row>
    <row r="8" spans="5:61" ht="11.25" hidden="1" customHeight="1">
      <c r="E8" s="1112"/>
      <c r="F8" s="1112"/>
      <c r="G8" s="1112"/>
      <c r="H8" s="1112"/>
      <c r="I8" s="1114"/>
      <c r="J8" s="1114"/>
      <c r="K8" s="1113" t="e">
        <f>S4&amp;".1"</f>
        <v>#N/A</v>
      </c>
      <c r="P8" s="964"/>
      <c r="Q8" s="964"/>
      <c r="R8" s="1171">
        <v>1</v>
      </c>
      <c r="S8" s="1168" t="e">
        <f>$K8</f>
        <v>#N/A</v>
      </c>
      <c r="T8" s="1188"/>
      <c r="U8" s="297"/>
      <c r="V8" s="312"/>
      <c r="W8" s="314"/>
      <c r="X8" s="312"/>
      <c r="Y8" s="314"/>
      <c r="Z8" s="315"/>
      <c r="AA8" s="122" t="s">
        <v>66</v>
      </c>
      <c r="AB8" s="315"/>
      <c r="AC8" s="122" t="s">
        <v>66</v>
      </c>
      <c r="AD8" s="1059" t="s">
        <v>66</v>
      </c>
      <c r="AE8" s="1164"/>
      <c r="AF8" s="1069">
        <v>1</v>
      </c>
      <c r="AG8" s="1187"/>
      <c r="AH8" s="1004" t="s">
        <v>66</v>
      </c>
      <c r="AI8" s="1164"/>
      <c r="AJ8" s="1069">
        <v>1</v>
      </c>
      <c r="AK8" s="1178" t="s">
        <v>22</v>
      </c>
      <c r="AL8" s="1004" t="s">
        <v>66</v>
      </c>
      <c r="AM8" s="1047"/>
      <c r="AN8" s="1069">
        <v>1</v>
      </c>
      <c r="AO8" s="1191"/>
      <c r="AP8" s="1192" t="s">
        <v>66</v>
      </c>
      <c r="AQ8" s="401"/>
      <c r="AR8" s="187">
        <v>1</v>
      </c>
      <c r="AS8" s="43" t="s">
        <v>22</v>
      </c>
      <c r="AT8" s="312"/>
      <c r="AU8" s="314"/>
      <c r="AV8" s="312"/>
      <c r="AW8" s="314"/>
      <c r="AX8" s="315"/>
      <c r="AY8" s="122" t="s">
        <v>66</v>
      </c>
      <c r="AZ8" s="315"/>
      <c r="BA8" s="122" t="s">
        <v>66</v>
      </c>
      <c r="BB8" s="354"/>
      <c r="BC8" s="1134" t="s">
        <v>502</v>
      </c>
      <c r="BF8" s="87" t="str">
        <f t="shared" si="0"/>
        <v/>
      </c>
      <c r="BI8" s="17">
        <v>0</v>
      </c>
    </row>
    <row r="9" spans="5:61" ht="11.25" hidden="1" customHeight="1">
      <c r="E9" s="1112"/>
      <c r="F9" s="1112"/>
      <c r="G9" s="1112"/>
      <c r="H9" s="1112"/>
      <c r="I9" s="1114"/>
      <c r="J9" s="1114"/>
      <c r="K9" s="1113"/>
      <c r="P9" s="964"/>
      <c r="Q9" s="964"/>
      <c r="R9" s="1171"/>
      <c r="S9" s="1169"/>
      <c r="T9" s="1189"/>
      <c r="U9" s="297"/>
      <c r="V9" s="391"/>
      <c r="W9" s="404"/>
      <c r="X9" s="391"/>
      <c r="Y9" s="404"/>
      <c r="Z9" s="391"/>
      <c r="AA9" s="391"/>
      <c r="AB9" s="391"/>
      <c r="AC9" s="391"/>
      <c r="AD9" s="1060"/>
      <c r="AE9" s="1164"/>
      <c r="AF9" s="1069"/>
      <c r="AG9" s="1187"/>
      <c r="AH9" s="1004"/>
      <c r="AI9" s="1164"/>
      <c r="AJ9" s="1069"/>
      <c r="AK9" s="1178"/>
      <c r="AL9" s="1004"/>
      <c r="AM9" s="1052"/>
      <c r="AN9" s="1069"/>
      <c r="AO9" s="1191"/>
      <c r="AP9" s="1193"/>
      <c r="AQ9" s="403"/>
      <c r="AR9" s="105"/>
      <c r="AS9" s="105" t="s">
        <v>503</v>
      </c>
      <c r="AT9" s="391"/>
      <c r="AU9" s="404"/>
      <c r="AV9" s="391"/>
      <c r="AW9" s="404"/>
      <c r="AX9" s="391"/>
      <c r="AY9" s="391"/>
      <c r="AZ9" s="391"/>
      <c r="BA9" s="391"/>
      <c r="BB9" s="402"/>
      <c r="BC9" s="1135"/>
      <c r="BI9" s="17">
        <v>0</v>
      </c>
    </row>
    <row r="10" spans="5:61" ht="11.25" hidden="1" customHeight="1">
      <c r="E10" s="1112"/>
      <c r="F10" s="1112"/>
      <c r="G10" s="1112"/>
      <c r="H10" s="1112"/>
      <c r="I10" s="1114"/>
      <c r="J10" s="1114"/>
      <c r="K10" s="1113"/>
      <c r="P10" s="964"/>
      <c r="Q10" s="964"/>
      <c r="R10" s="1171"/>
      <c r="S10" s="1169"/>
      <c r="T10" s="1189"/>
      <c r="U10" s="297"/>
      <c r="V10" s="391"/>
      <c r="W10" s="404"/>
      <c r="X10" s="391"/>
      <c r="Y10" s="404"/>
      <c r="Z10" s="391"/>
      <c r="AA10" s="391"/>
      <c r="AB10" s="391"/>
      <c r="AC10" s="391"/>
      <c r="AD10" s="1060"/>
      <c r="AE10" s="1164"/>
      <c r="AF10" s="1069"/>
      <c r="AG10" s="1187"/>
      <c r="AH10" s="1004"/>
      <c r="AI10" s="1164"/>
      <c r="AJ10" s="1069"/>
      <c r="AK10" s="1178"/>
      <c r="AL10" s="1004"/>
      <c r="AM10" s="403"/>
      <c r="AN10" s="437"/>
      <c r="AO10" s="437" t="s">
        <v>504</v>
      </c>
      <c r="AP10" s="105"/>
      <c r="AQ10" s="105"/>
      <c r="AR10" s="105"/>
      <c r="AS10" s="391"/>
      <c r="AT10" s="391"/>
      <c r="AU10" s="404"/>
      <c r="AV10" s="391"/>
      <c r="AW10" s="404"/>
      <c r="AX10" s="391"/>
      <c r="AY10" s="391"/>
      <c r="AZ10" s="391"/>
      <c r="BA10" s="391"/>
      <c r="BB10" s="402"/>
      <c r="BC10" s="1135"/>
      <c r="BI10" s="17">
        <v>0</v>
      </c>
    </row>
    <row r="11" spans="5:61" ht="11.25" hidden="1" customHeight="1">
      <c r="E11" s="1112"/>
      <c r="F11" s="1112"/>
      <c r="G11" s="1112"/>
      <c r="H11" s="1112"/>
      <c r="I11" s="1114"/>
      <c r="J11" s="1114"/>
      <c r="K11" s="1113"/>
      <c r="P11" s="964"/>
      <c r="Q11" s="964"/>
      <c r="R11" s="1171"/>
      <c r="S11" s="1169"/>
      <c r="T11" s="1189"/>
      <c r="U11" s="297"/>
      <c r="V11" s="391"/>
      <c r="W11" s="404"/>
      <c r="X11" s="391"/>
      <c r="Y11" s="404"/>
      <c r="Z11" s="391"/>
      <c r="AA11" s="391"/>
      <c r="AB11" s="391"/>
      <c r="AC11" s="391"/>
      <c r="AD11" s="1060"/>
      <c r="AE11" s="1164"/>
      <c r="AF11" s="1069"/>
      <c r="AG11" s="1187"/>
      <c r="AH11" s="1004"/>
      <c r="AI11" s="406"/>
      <c r="AJ11" s="100"/>
      <c r="AK11" s="269" t="s">
        <v>505</v>
      </c>
      <c r="AL11" s="391"/>
      <c r="AM11" s="391"/>
      <c r="AN11" s="391"/>
      <c r="AO11" s="391"/>
      <c r="AP11" s="391"/>
      <c r="AQ11" s="391"/>
      <c r="AR11" s="391"/>
      <c r="AS11" s="391"/>
      <c r="AT11" s="391"/>
      <c r="AU11" s="404"/>
      <c r="AV11" s="391"/>
      <c r="AW11" s="404"/>
      <c r="AX11" s="391"/>
      <c r="AY11" s="391"/>
      <c r="AZ11" s="391"/>
      <c r="BA11" s="391"/>
      <c r="BB11" s="402"/>
      <c r="BC11" s="1135"/>
      <c r="BI11" s="17">
        <v>0</v>
      </c>
    </row>
    <row r="12" spans="5:61" ht="11.25" hidden="1" customHeight="1">
      <c r="E12" s="1112"/>
      <c r="F12" s="1112"/>
      <c r="G12" s="1112"/>
      <c r="H12" s="1112"/>
      <c r="I12" s="1114"/>
      <c r="J12" s="1114"/>
      <c r="K12" s="1113"/>
      <c r="P12" s="964"/>
      <c r="Q12" s="964"/>
      <c r="R12" s="1171"/>
      <c r="S12" s="1170"/>
      <c r="T12" s="1190"/>
      <c r="U12" s="297"/>
      <c r="V12" s="391"/>
      <c r="W12" s="392" t="str">
        <f>Z8&amp;"-"&amp;AB8</f>
        <v>-</v>
      </c>
      <c r="X12" s="391"/>
      <c r="Y12" s="392" t="str">
        <f>AB8&amp;"-"&amp;AD8</f>
        <v>-да</v>
      </c>
      <c r="Z12" s="391"/>
      <c r="AA12" s="391"/>
      <c r="AB12" s="391"/>
      <c r="AC12" s="391"/>
      <c r="AD12" s="1009"/>
      <c r="AE12" s="408"/>
      <c r="AF12" s="409"/>
      <c r="AG12" s="105" t="s">
        <v>506</v>
      </c>
      <c r="AH12" s="391"/>
      <c r="AI12" s="391"/>
      <c r="AJ12" s="391"/>
      <c r="AK12" s="391"/>
      <c r="AL12" s="391"/>
      <c r="AM12" s="391"/>
      <c r="AN12" s="391"/>
      <c r="AO12" s="391"/>
      <c r="AP12" s="391"/>
      <c r="AQ12" s="391"/>
      <c r="AR12" s="391"/>
      <c r="AS12" s="391"/>
      <c r="AT12" s="391"/>
      <c r="AU12" s="392" t="str">
        <f>AX8&amp;"-"&amp;AZ8</f>
        <v>-</v>
      </c>
      <c r="AV12" s="391"/>
      <c r="AW12" s="392" t="str">
        <f>AZ8&amp;"-"&amp;BB8</f>
        <v>-</v>
      </c>
      <c r="AX12" s="391"/>
      <c r="AY12" s="391"/>
      <c r="AZ12" s="391"/>
      <c r="BA12" s="391"/>
      <c r="BB12" s="407" t="str">
        <f>BE8&amp;"-"&amp;BG8</f>
        <v>-</v>
      </c>
      <c r="BC12" s="1135"/>
      <c r="BF12" s="87" t="str">
        <f t="shared" ref="BF12:BF18" si="1">IF(T12="","",T12)</f>
        <v/>
      </c>
      <c r="BI12" s="17">
        <v>0</v>
      </c>
    </row>
    <row r="13" spans="5:61" ht="11.25" hidden="1" customHeight="1">
      <c r="E13" s="1112"/>
      <c r="F13" s="1112"/>
      <c r="G13" s="1112"/>
      <c r="H13" s="1112"/>
      <c r="I13" s="1114"/>
      <c r="J13" s="1113"/>
      <c r="P13" s="964"/>
      <c r="Q13" s="964"/>
      <c r="R13" s="307"/>
      <c r="S13" s="318"/>
      <c r="T13" s="321" t="s">
        <v>469</v>
      </c>
      <c r="U13" s="117"/>
      <c r="V13" s="117"/>
      <c r="W13" s="117"/>
      <c r="X13" s="117"/>
      <c r="Y13" s="117"/>
      <c r="Z13" s="117"/>
      <c r="AA13" s="117"/>
      <c r="AB13" s="117"/>
      <c r="AC13" s="117"/>
      <c r="AD13" s="422"/>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320"/>
      <c r="BC13" s="1136"/>
      <c r="BF13" s="87" t="str">
        <f t="shared" si="1"/>
        <v>Добавить строку</v>
      </c>
      <c r="BI13" s="17">
        <v>0</v>
      </c>
    </row>
    <row r="14" spans="5:61" ht="14.25" hidden="1" customHeight="1">
      <c r="E14" s="1112"/>
      <c r="F14" s="1112"/>
      <c r="G14" s="1112"/>
      <c r="H14" s="1112"/>
      <c r="I14" s="1113"/>
      <c r="P14" s="964"/>
      <c r="R14" s="307"/>
      <c r="S14" s="367"/>
      <c r="T14" s="368"/>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70"/>
      <c r="BF14" s="87" t="str">
        <f t="shared" si="1"/>
        <v/>
      </c>
      <c r="BI14" s="75">
        <v>0</v>
      </c>
    </row>
    <row r="15" spans="5:61" ht="14.25" hidden="1" customHeight="1">
      <c r="E15" s="1112"/>
      <c r="F15" s="1112"/>
      <c r="G15" s="1112"/>
      <c r="H15" s="1111"/>
      <c r="R15" s="410"/>
      <c r="S15" s="367"/>
      <c r="T15" s="368"/>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70"/>
      <c r="BF15" s="87" t="str">
        <f t="shared" si="1"/>
        <v/>
      </c>
      <c r="BI15" s="75">
        <v>0</v>
      </c>
    </row>
    <row r="16" spans="5:61" ht="14.25" hidden="1" customHeight="1">
      <c r="E16" s="1112"/>
      <c r="F16" s="1112"/>
      <c r="G16" s="1111"/>
      <c r="BF16" s="87" t="str">
        <f t="shared" si="1"/>
        <v/>
      </c>
      <c r="BI16" s="75">
        <v>0</v>
      </c>
    </row>
    <row r="17" spans="5:61" ht="14.25" hidden="1" customHeight="1">
      <c r="E17" s="1112"/>
      <c r="F17" s="1111"/>
      <c r="T17" s="329" t="s">
        <v>416</v>
      </c>
      <c r="BF17" s="87" t="str">
        <f t="shared" si="1"/>
        <v>Добавить централизованную систему для дифференциации</v>
      </c>
      <c r="BI17" s="75">
        <v>0</v>
      </c>
    </row>
    <row r="18" spans="5:61" ht="14.25" hidden="1" customHeight="1">
      <c r="E18" s="1111"/>
      <c r="T18" s="329" t="s">
        <v>417</v>
      </c>
      <c r="BF18" s="87" t="str">
        <f t="shared" si="1"/>
        <v>Добавить территорию для дифференциации</v>
      </c>
      <c r="BI18" s="75">
        <v>0</v>
      </c>
    </row>
    <row r="19" spans="5:61" ht="14.25" hidden="1" customHeight="1">
      <c r="BI19" s="17">
        <v>0</v>
      </c>
    </row>
    <row r="20" spans="5:61" ht="14.25" hidden="1" customHeight="1">
      <c r="AD20" s="411" t="s">
        <v>19</v>
      </c>
      <c r="AF20" s="411">
        <v>1</v>
      </c>
      <c r="AH20" s="411" t="s">
        <v>19</v>
      </c>
      <c r="AJ20" s="411">
        <v>1</v>
      </c>
      <c r="AL20" s="411" t="s">
        <v>19</v>
      </c>
      <c r="AN20" s="411">
        <v>1</v>
      </c>
      <c r="AP20" s="411" t="s">
        <v>19</v>
      </c>
      <c r="AR20" s="411">
        <v>1</v>
      </c>
      <c r="AT20" s="313"/>
      <c r="AU20" s="361"/>
      <c r="AV20" s="313"/>
      <c r="AW20" s="361"/>
      <c r="AX20" s="415"/>
      <c r="AY20" s="416" t="s">
        <v>66</v>
      </c>
      <c r="AZ20" s="415"/>
      <c r="BA20" s="416" t="s">
        <v>66</v>
      </c>
      <c r="BI20" s="17">
        <v>0</v>
      </c>
    </row>
    <row r="21" spans="5:61" ht="14.25" hidden="1" customHeight="1">
      <c r="BI21" s="17">
        <v>0</v>
      </c>
    </row>
    <row r="22" spans="5:61" ht="14.25" hidden="1" customHeight="1">
      <c r="O22" s="332" t="s">
        <v>418</v>
      </c>
      <c r="Z22" s="359"/>
      <c r="AB22" s="359"/>
      <c r="AX22" s="359"/>
      <c r="AZ22" s="359"/>
      <c r="BI22" s="17">
        <v>0</v>
      </c>
    </row>
    <row r="23" spans="5:61" ht="14.25" hidden="1" customHeight="1">
      <c r="BI23" s="17">
        <v>0</v>
      </c>
    </row>
    <row r="24" spans="5:61" ht="14.25" hidden="1" customHeight="1">
      <c r="O24" s="417" t="s">
        <v>419</v>
      </c>
      <c r="AA24" s="417" t="s">
        <v>421</v>
      </c>
      <c r="AC24" s="417" t="s">
        <v>422</v>
      </c>
      <c r="AD24" s="417" t="s">
        <v>470</v>
      </c>
      <c r="AH24" s="417" t="s">
        <v>470</v>
      </c>
      <c r="AK24" s="417" t="s">
        <v>507</v>
      </c>
      <c r="AL24" s="417" t="s">
        <v>470</v>
      </c>
      <c r="AP24" s="417" t="s">
        <v>470</v>
      </c>
      <c r="AY24" s="417" t="s">
        <v>421</v>
      </c>
      <c r="BA24" s="417" t="s">
        <v>422</v>
      </c>
      <c r="BI24" s="417">
        <v>0</v>
      </c>
    </row>
    <row r="25" spans="5:61" ht="14.25" hidden="1" customHeight="1">
      <c r="BI25" s="17">
        <v>0</v>
      </c>
    </row>
    <row r="26" spans="5:61" ht="14.25" hidden="1" customHeight="1">
      <c r="BI26" s="17">
        <v>0</v>
      </c>
    </row>
    <row r="27" spans="5:61" ht="14.65" customHeight="1">
      <c r="Q27" s="418"/>
      <c r="R27" s="333"/>
      <c r="S27" s="334"/>
      <c r="T27" s="38"/>
      <c r="U27" s="38"/>
      <c r="BI27" s="17">
        <v>14</v>
      </c>
    </row>
    <row r="28" spans="5:61" ht="14.65" customHeight="1">
      <c r="Q28" s="418"/>
      <c r="R28" s="333"/>
      <c r="S28" s="10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093"/>
      <c r="U28" s="1093"/>
      <c r="V28" s="1093"/>
      <c r="W28" s="1093"/>
      <c r="X28" s="1093"/>
      <c r="Y28" s="1093"/>
      <c r="Z28" s="1093"/>
      <c r="AA28" s="1093"/>
      <c r="AB28" s="1093"/>
      <c r="AC28" s="1093"/>
      <c r="AD28" s="1093"/>
      <c r="AE28" s="1093"/>
      <c r="AF28" s="1093"/>
      <c r="AG28" s="1093"/>
      <c r="AH28" s="1093"/>
      <c r="AI28" s="1093"/>
      <c r="AJ28" s="1093"/>
      <c r="AK28" s="1093"/>
      <c r="AL28" s="1093"/>
      <c r="AM28" s="1093"/>
      <c r="AN28" s="1093"/>
      <c r="AO28" s="1093"/>
      <c r="AP28" s="1093"/>
      <c r="AQ28" s="1093"/>
      <c r="AR28" s="1093"/>
      <c r="AS28" s="1093"/>
      <c r="AT28" s="1093"/>
      <c r="AU28" s="1093"/>
      <c r="AV28" s="1093"/>
      <c r="AW28" s="1093"/>
      <c r="AX28" s="1093"/>
      <c r="AY28" s="1093"/>
      <c r="AZ28" s="1093"/>
      <c r="BI28" s="17">
        <v>14</v>
      </c>
    </row>
    <row r="29" spans="5:61" ht="14.65" customHeight="1">
      <c r="Q29" s="418"/>
      <c r="R29" s="333"/>
      <c r="S29" s="1066" t="str">
        <f>IF(org=0,"Не определено",org)</f>
        <v>ООО "ТВС"</v>
      </c>
      <c r="T29" s="1066"/>
      <c r="U29" s="1066"/>
      <c r="V29" s="1066"/>
      <c r="W29" s="1066"/>
      <c r="X29" s="1066"/>
      <c r="Y29" s="1066"/>
      <c r="Z29" s="1066"/>
      <c r="AA29" s="1066"/>
      <c r="AB29" s="1066"/>
      <c r="AC29" s="1066"/>
      <c r="AD29" s="1066"/>
      <c r="AE29" s="1066"/>
      <c r="AF29" s="1066"/>
      <c r="AG29" s="1066"/>
      <c r="AH29" s="1066"/>
      <c r="AI29" s="1066"/>
      <c r="AJ29" s="1066"/>
      <c r="AK29" s="1066"/>
      <c r="AL29" s="1066"/>
      <c r="AM29" s="1066"/>
      <c r="AN29" s="1066"/>
      <c r="AO29" s="1066"/>
      <c r="AP29" s="1066"/>
      <c r="AQ29" s="1066"/>
      <c r="AR29" s="1066"/>
      <c r="AS29" s="1066"/>
      <c r="AT29" s="1066"/>
      <c r="AU29" s="1066"/>
      <c r="AV29" s="1066"/>
      <c r="AW29" s="1066"/>
      <c r="AX29" s="1066"/>
      <c r="AY29" s="1066"/>
      <c r="AZ29" s="1066"/>
      <c r="BI29" s="17">
        <v>14</v>
      </c>
    </row>
    <row r="30" spans="5:61" ht="14.25" hidden="1" customHeight="1">
      <c r="Q30" s="418"/>
      <c r="R30" s="333"/>
      <c r="S30" s="334"/>
      <c r="T30" s="38"/>
      <c r="U30" s="38"/>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I30" s="17">
        <v>0</v>
      </c>
    </row>
    <row r="31" spans="5:61" ht="25.5" hidden="1" customHeight="1">
      <c r="S31" s="1103" t="s">
        <v>42</v>
      </c>
      <c r="T31" s="1103"/>
      <c r="U31" s="337"/>
      <c r="V31" s="1105" t="str">
        <f>IF(TITLE_NAME_OR_PR_CHANGE="",IF(TITLE_NAME_OR_PR="","",TITLE_NAME_OR_PR),TITLE_NAME_OR_PR_CHANGE)</f>
        <v/>
      </c>
      <c r="W31" s="1105"/>
      <c r="X31" s="1105"/>
      <c r="Y31" s="1105"/>
      <c r="Z31" s="1105"/>
      <c r="AA31" s="1105"/>
      <c r="AB31" s="1105"/>
      <c r="AD31" s="1105" t="str">
        <f>IF(TITLE_NAME_OR_PR_CHANGE="",IF(TITLE_NAME_OR_PR="","",TITLE_NAME_OR_PR),TITLE_NAME_OR_PR_CHANGE)</f>
        <v/>
      </c>
      <c r="AE31" s="1105"/>
      <c r="AF31" s="1105"/>
      <c r="AG31" s="1105"/>
      <c r="AH31" s="1105"/>
      <c r="AI31" s="1105"/>
      <c r="AJ31" s="1105"/>
      <c r="AK31" s="1105"/>
      <c r="AL31" s="1105"/>
      <c r="AM31" s="1105"/>
      <c r="AN31" s="1105"/>
      <c r="AO31" s="1105"/>
      <c r="AP31" s="1105"/>
      <c r="AQ31" s="1105"/>
      <c r="AR31" s="1105"/>
      <c r="AS31" s="1105"/>
      <c r="AT31" s="1105"/>
      <c r="AU31" s="1105"/>
      <c r="AV31" s="1105"/>
      <c r="AW31" s="1105"/>
      <c r="AX31" s="1105"/>
      <c r="AY31" s="1105"/>
      <c r="AZ31" s="1105"/>
      <c r="BI31" s="111">
        <v>0</v>
      </c>
    </row>
    <row r="32" spans="5:61" ht="18.75" hidden="1" customHeight="1">
      <c r="S32" s="1103" t="s">
        <v>424</v>
      </c>
      <c r="T32" s="1103"/>
      <c r="U32" s="337"/>
      <c r="V32" s="1104" t="str">
        <f>IF(TITLE_DATE_PR_CHANGE="",IF(TITLE_DATE_PR="","",TITLE_DATE_PR),TITLE_DATE_PR_CHANGE)</f>
        <v/>
      </c>
      <c r="W32" s="1104"/>
      <c r="X32" s="1104"/>
      <c r="Y32" s="1104"/>
      <c r="Z32" s="1104"/>
      <c r="AA32" s="1104"/>
      <c r="AB32" s="1104"/>
      <c r="AD32" s="1104" t="str">
        <f>IF(TITLE_DATE_PR_CHANGE="",IF(TITLE_DATE_PR="","",TITLE_DATE_PR),TITLE_DATE_PR_CHANGE)</f>
        <v/>
      </c>
      <c r="AE32" s="1104"/>
      <c r="AF32" s="1104"/>
      <c r="AG32" s="1104"/>
      <c r="AH32" s="1104"/>
      <c r="AI32" s="1104"/>
      <c r="AJ32" s="1104"/>
      <c r="AK32" s="1104"/>
      <c r="AL32" s="1104"/>
      <c r="AM32" s="1104"/>
      <c r="AN32" s="1104"/>
      <c r="AO32" s="1104"/>
      <c r="AP32" s="1104"/>
      <c r="AQ32" s="1104"/>
      <c r="AR32" s="1104"/>
      <c r="AS32" s="1104"/>
      <c r="AT32" s="1104"/>
      <c r="AU32" s="1104"/>
      <c r="AV32" s="1104"/>
      <c r="AW32" s="1104"/>
      <c r="AX32" s="1104"/>
      <c r="AY32" s="1104"/>
      <c r="AZ32" s="1104"/>
      <c r="BI32" s="111">
        <v>0</v>
      </c>
    </row>
    <row r="33" spans="1:61" ht="18.75" hidden="1" customHeight="1">
      <c r="S33" s="1103" t="s">
        <v>425</v>
      </c>
      <c r="T33" s="1103"/>
      <c r="U33" s="337"/>
      <c r="V33" s="1105" t="str">
        <f>IF(TITLE_NUMBER_PR_CHANGE="",IF(TITLE_NUMBER_PR="","",TITLE_NUMBER_PR),TITLE_NUMBER_PR_CHANGE)</f>
        <v/>
      </c>
      <c r="W33" s="1105"/>
      <c r="X33" s="1105"/>
      <c r="Y33" s="1105"/>
      <c r="Z33" s="1105"/>
      <c r="AA33" s="1105"/>
      <c r="AB33" s="1105"/>
      <c r="AD33" s="1105" t="str">
        <f>IF(TITLE_NUMBER_PR_CHANGE="",IF(TITLE_NUMBER_PR="","",TITLE_NUMBER_PR),TITLE_NUMBER_PR_CHANGE)</f>
        <v/>
      </c>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I33" s="111">
        <v>0</v>
      </c>
    </row>
    <row r="34" spans="1:61" ht="18.75" hidden="1" customHeight="1">
      <c r="S34" s="1103" t="s">
        <v>43</v>
      </c>
      <c r="T34" s="1103"/>
      <c r="U34" s="337"/>
      <c r="V34" s="1105" t="str">
        <f>IF(TITLE_IST_PUB_CHANGE="",IF(TITLE_IST_PUB="","",TITLE_IST_PUB),TITLE_IST_PUB_CHANGE)</f>
        <v/>
      </c>
      <c r="W34" s="1105"/>
      <c r="X34" s="1105"/>
      <c r="Y34" s="1105"/>
      <c r="Z34" s="1105"/>
      <c r="AA34" s="1105"/>
      <c r="AB34" s="1105"/>
      <c r="AD34" s="1105" t="str">
        <f>IF(TITLE_IST_PUB_CHANGE="",IF(TITLE_IST_PUB="","",TITLE_IST_PUB),TITLE_IST_PUB_CHANGE)</f>
        <v/>
      </c>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5"/>
      <c r="AZ34" s="1105"/>
      <c r="BI34" s="111">
        <v>0</v>
      </c>
    </row>
    <row r="35" spans="1:61" ht="14.25" hidden="1" customHeight="1">
      <c r="Q35" s="418"/>
      <c r="R35" s="333"/>
      <c r="S35" s="334"/>
      <c r="T35" s="38"/>
      <c r="U35" s="38"/>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I35" s="17">
        <v>0</v>
      </c>
    </row>
    <row r="36" spans="1:61" ht="18.75" hidden="1" customHeight="1">
      <c r="S36" s="1103" t="s">
        <v>424</v>
      </c>
      <c r="T36" s="1103"/>
      <c r="U36" s="337"/>
      <c r="V36" s="1104" t="str">
        <f>IF(TITLE_DATE_PR_CHANGE="",IF(TITLE_DATE_PR="","",TITLE_DATE_PR),TITLE_DATE_PR_CHANGE)</f>
        <v/>
      </c>
      <c r="W36" s="1104"/>
      <c r="X36" s="1104"/>
      <c r="Y36" s="1104"/>
      <c r="Z36" s="1104"/>
      <c r="AA36" s="1104"/>
      <c r="AB36" s="1104"/>
      <c r="AD36" s="1104" t="str">
        <f>IF(TITLE_DATE_PR_CHANGE="",IF(TITLE_DATE_PR="","",TITLE_DATE_PR),TITLE_DATE_PR_CHANGE)</f>
        <v/>
      </c>
      <c r="AE36" s="1104"/>
      <c r="AF36" s="1104"/>
      <c r="AG36" s="1104"/>
      <c r="AH36" s="1104"/>
      <c r="AI36" s="1104"/>
      <c r="AJ36" s="1104"/>
      <c r="AK36" s="1104"/>
      <c r="AL36" s="1104"/>
      <c r="AM36" s="1104"/>
      <c r="AN36" s="1104"/>
      <c r="AO36" s="1104"/>
      <c r="AP36" s="1104"/>
      <c r="AQ36" s="1104"/>
      <c r="AR36" s="1104"/>
      <c r="AS36" s="1104"/>
      <c r="AT36" s="1104"/>
      <c r="AU36" s="1104"/>
      <c r="AV36" s="1104"/>
      <c r="AW36" s="1104"/>
      <c r="AX36" s="1104"/>
      <c r="AY36" s="1104"/>
      <c r="AZ36" s="1104"/>
      <c r="BI36" s="111">
        <v>0</v>
      </c>
    </row>
    <row r="37" spans="1:61" ht="18.75" hidden="1" customHeight="1">
      <c r="S37" s="1103" t="s">
        <v>425</v>
      </c>
      <c r="T37" s="1103"/>
      <c r="U37" s="337"/>
      <c r="V37" s="1105" t="str">
        <f>IF(TITLE_NUMBER_PR_CHANGE="",IF(TITLE_NUMBER_PR="","",TITLE_NUMBER_PR),TITLE_NUMBER_PR_CHANGE)</f>
        <v/>
      </c>
      <c r="W37" s="1105"/>
      <c r="X37" s="1105"/>
      <c r="Y37" s="1105"/>
      <c r="Z37" s="1105"/>
      <c r="AA37" s="1105"/>
      <c r="AB37" s="1105"/>
      <c r="AD37" s="1105" t="str">
        <f>IF(TITLE_NUMBER_PR_CHANGE="",IF(TITLE_NUMBER_PR="","",TITLE_NUMBER_PR),TITLE_NUMBER_PR_CHANGE)</f>
        <v/>
      </c>
      <c r="AE37" s="1105"/>
      <c r="AF37" s="1105"/>
      <c r="AG37" s="1105"/>
      <c r="AH37" s="1105"/>
      <c r="AI37" s="1105"/>
      <c r="AJ37" s="1105"/>
      <c r="AK37" s="1105"/>
      <c r="AL37" s="1105"/>
      <c r="AM37" s="1105"/>
      <c r="AN37" s="1105"/>
      <c r="AO37" s="1105"/>
      <c r="AP37" s="1105"/>
      <c r="AQ37" s="1105"/>
      <c r="AR37" s="1105"/>
      <c r="AS37" s="1105"/>
      <c r="AT37" s="1105"/>
      <c r="AU37" s="1105"/>
      <c r="AV37" s="1105"/>
      <c r="AW37" s="1105"/>
      <c r="AX37" s="1105"/>
      <c r="AY37" s="1105"/>
      <c r="AZ37" s="1105"/>
      <c r="BI37" s="111">
        <v>0</v>
      </c>
    </row>
    <row r="38" spans="1:61" ht="0" hidden="1" customHeight="1">
      <c r="AC38" s="75" t="s">
        <v>428</v>
      </c>
      <c r="BA38" s="75" t="s">
        <v>428</v>
      </c>
      <c r="BI38" s="111">
        <v>0</v>
      </c>
    </row>
    <row r="39" spans="1:61" ht="14.65" customHeight="1">
      <c r="Q39" s="418"/>
      <c r="R39" s="333"/>
      <c r="S39" s="334"/>
      <c r="T39" s="38"/>
      <c r="U39" s="339"/>
      <c r="V39" s="1123"/>
      <c r="W39" s="1123"/>
      <c r="X39" s="1123"/>
      <c r="Y39" s="1123"/>
      <c r="Z39" s="1123"/>
      <c r="AA39" s="1123"/>
      <c r="AB39" s="1123"/>
      <c r="AC39" s="1123"/>
      <c r="AD39" s="1123"/>
      <c r="AE39" s="1123"/>
      <c r="AF39" s="1123"/>
      <c r="AG39" s="1123"/>
      <c r="AH39" s="1123"/>
      <c r="AI39" s="1123"/>
      <c r="AJ39" s="1123"/>
      <c r="AK39" s="1123"/>
      <c r="AL39" s="1123"/>
      <c r="AM39" s="1123"/>
      <c r="AN39" s="1123"/>
      <c r="AO39" s="1123"/>
      <c r="AP39" s="1123"/>
      <c r="AQ39" s="1123"/>
      <c r="AR39" s="1123"/>
      <c r="AS39" s="1123"/>
      <c r="AT39" s="1123"/>
      <c r="AU39" s="1123"/>
      <c r="AV39" s="1123"/>
      <c r="AW39" s="1123"/>
      <c r="AX39" s="1123"/>
      <c r="AY39" s="1123"/>
      <c r="AZ39" s="1123"/>
      <c r="BA39" s="1123"/>
      <c r="BI39" s="17">
        <v>14</v>
      </c>
    </row>
    <row r="40" spans="1:61" ht="14.65" customHeight="1">
      <c r="Q40" s="418"/>
      <c r="R40" s="333"/>
      <c r="S40" s="995" t="s">
        <v>301</v>
      </c>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c r="AU40" s="995"/>
      <c r="AV40" s="995"/>
      <c r="AW40" s="995"/>
      <c r="AX40" s="995"/>
      <c r="AY40" s="995"/>
      <c r="AZ40" s="995"/>
      <c r="BA40" s="995"/>
      <c r="BB40" s="995"/>
      <c r="BC40" s="995" t="s">
        <v>302</v>
      </c>
      <c r="BI40" s="17">
        <v>14</v>
      </c>
    </row>
    <row r="41" spans="1:61" ht="14.65" customHeight="1">
      <c r="Q41" s="418"/>
      <c r="R41" s="333"/>
      <c r="S41" s="1124" t="s">
        <v>88</v>
      </c>
      <c r="T41" s="1073" t="s">
        <v>508</v>
      </c>
      <c r="U41" s="341"/>
      <c r="V41" s="1125" t="s">
        <v>430</v>
      </c>
      <c r="W41" s="1126"/>
      <c r="X41" s="1126"/>
      <c r="Y41" s="1126"/>
      <c r="Z41" s="1126"/>
      <c r="AA41" s="1126"/>
      <c r="AB41" s="1127"/>
      <c r="AC41" s="1128" t="s">
        <v>431</v>
      </c>
      <c r="AD41" s="1157" t="s">
        <v>509</v>
      </c>
      <c r="AE41" s="1141"/>
      <c r="AF41" s="1141"/>
      <c r="AG41" s="1158"/>
      <c r="AH41" s="1157" t="s">
        <v>510</v>
      </c>
      <c r="AI41" s="1141"/>
      <c r="AJ41" s="1141"/>
      <c r="AK41" s="1158"/>
      <c r="AL41" s="1157" t="s">
        <v>511</v>
      </c>
      <c r="AM41" s="1141"/>
      <c r="AN41" s="1141"/>
      <c r="AO41" s="1158"/>
      <c r="AP41" s="1157" t="s">
        <v>512</v>
      </c>
      <c r="AQ41" s="1141"/>
      <c r="AR41" s="1141"/>
      <c r="AS41" s="1158"/>
      <c r="AT41" s="1125" t="s">
        <v>430</v>
      </c>
      <c r="AU41" s="1126"/>
      <c r="AV41" s="1126"/>
      <c r="AW41" s="1126"/>
      <c r="AX41" s="1126"/>
      <c r="AY41" s="1126"/>
      <c r="AZ41" s="1127"/>
      <c r="BA41" s="1128" t="s">
        <v>431</v>
      </c>
      <c r="BB41" s="1131" t="s">
        <v>433</v>
      </c>
      <c r="BC41" s="995"/>
      <c r="BI41" s="17">
        <v>14</v>
      </c>
    </row>
    <row r="42" spans="1:61" ht="35.65" customHeight="1">
      <c r="Q42" s="418"/>
      <c r="R42" s="333"/>
      <c r="S42" s="1124"/>
      <c r="T42" s="1073"/>
      <c r="U42" s="343"/>
      <c r="V42" s="1047" t="s">
        <v>513</v>
      </c>
      <c r="W42" s="1048"/>
      <c r="X42" s="1047" t="s">
        <v>514</v>
      </c>
      <c r="Y42" s="1048"/>
      <c r="Z42" s="1047" t="s">
        <v>515</v>
      </c>
      <c r="AA42" s="1153"/>
      <c r="AB42" s="1048"/>
      <c r="AC42" s="1129"/>
      <c r="AD42" s="1159"/>
      <c r="AE42" s="1160"/>
      <c r="AF42" s="1160"/>
      <c r="AG42" s="1172"/>
      <c r="AH42" s="1159"/>
      <c r="AI42" s="1160"/>
      <c r="AJ42" s="1160"/>
      <c r="AK42" s="1172"/>
      <c r="AL42" s="1159"/>
      <c r="AM42" s="1160"/>
      <c r="AN42" s="1160"/>
      <c r="AO42" s="1172"/>
      <c r="AP42" s="1159"/>
      <c r="AQ42" s="1160"/>
      <c r="AR42" s="1160"/>
      <c r="AS42" s="1172"/>
      <c r="AT42" s="1047" t="s">
        <v>513</v>
      </c>
      <c r="AU42" s="1048"/>
      <c r="AV42" s="1047" t="s">
        <v>514</v>
      </c>
      <c r="AW42" s="1048"/>
      <c r="AX42" s="1047" t="s">
        <v>515</v>
      </c>
      <c r="AY42" s="1153"/>
      <c r="AZ42" s="1048"/>
      <c r="BA42" s="1129"/>
      <c r="BB42" s="1132"/>
      <c r="BC42" s="995"/>
      <c r="BI42" s="17">
        <v>34</v>
      </c>
    </row>
    <row r="43" spans="1:61" ht="14.65" customHeight="1">
      <c r="Q43" s="418"/>
      <c r="R43" s="333"/>
      <c r="S43" s="1124"/>
      <c r="T43" s="1073"/>
      <c r="U43" s="343"/>
      <c r="V43" s="1052"/>
      <c r="W43" s="1053"/>
      <c r="X43" s="1052"/>
      <c r="Y43" s="1053"/>
      <c r="Z43" s="1052"/>
      <c r="AA43" s="1154"/>
      <c r="AB43" s="1053"/>
      <c r="AC43" s="1129"/>
      <c r="AD43" s="1159"/>
      <c r="AE43" s="1160"/>
      <c r="AF43" s="1160"/>
      <c r="AG43" s="1172"/>
      <c r="AH43" s="1159"/>
      <c r="AI43" s="1160"/>
      <c r="AJ43" s="1160"/>
      <c r="AK43" s="1172"/>
      <c r="AL43" s="1159"/>
      <c r="AM43" s="1160"/>
      <c r="AN43" s="1160"/>
      <c r="AO43" s="1172"/>
      <c r="AP43" s="1159"/>
      <c r="AQ43" s="1160"/>
      <c r="AR43" s="1160"/>
      <c r="AS43" s="1172"/>
      <c r="AT43" s="1052"/>
      <c r="AU43" s="1053"/>
      <c r="AV43" s="1052"/>
      <c r="AW43" s="1053"/>
      <c r="AX43" s="1052"/>
      <c r="AY43" s="1154"/>
      <c r="AZ43" s="1053"/>
      <c r="BA43" s="1129"/>
      <c r="BB43" s="1132"/>
      <c r="BC43" s="995"/>
      <c r="BI43" s="17">
        <v>14</v>
      </c>
    </row>
    <row r="44" spans="1:61" ht="14.65" customHeight="1">
      <c r="B44" s="126" t="s">
        <v>138</v>
      </c>
      <c r="C44" s="126" t="s">
        <v>139</v>
      </c>
      <c r="D44" s="126" t="s">
        <v>140</v>
      </c>
      <c r="E44" s="306" t="s">
        <v>438</v>
      </c>
      <c r="F44" s="306" t="s">
        <v>439</v>
      </c>
      <c r="G44" s="306" t="s">
        <v>440</v>
      </c>
      <c r="H44" s="306" t="s">
        <v>441</v>
      </c>
      <c r="I44" s="306" t="s">
        <v>442</v>
      </c>
      <c r="J44" s="306" t="s">
        <v>443</v>
      </c>
      <c r="K44" s="306" t="s">
        <v>444</v>
      </c>
      <c r="L44" s="306" t="s">
        <v>419</v>
      </c>
      <c r="Q44" s="418"/>
      <c r="R44" s="333"/>
      <c r="S44" s="1124"/>
      <c r="T44" s="1073"/>
      <c r="U44" s="344"/>
      <c r="V44" s="189" t="s">
        <v>479</v>
      </c>
      <c r="W44" s="189" t="s">
        <v>480</v>
      </c>
      <c r="X44" s="189" t="s">
        <v>479</v>
      </c>
      <c r="Y44" s="189" t="s">
        <v>480</v>
      </c>
      <c r="Z44" s="134" t="s">
        <v>447</v>
      </c>
      <c r="AA44" s="1078" t="s">
        <v>448</v>
      </c>
      <c r="AB44" s="1092"/>
      <c r="AC44" s="1130"/>
      <c r="AD44" s="1161"/>
      <c r="AE44" s="1162"/>
      <c r="AF44" s="1162"/>
      <c r="AG44" s="1163"/>
      <c r="AH44" s="1161"/>
      <c r="AI44" s="1162"/>
      <c r="AJ44" s="1162"/>
      <c r="AK44" s="1163"/>
      <c r="AL44" s="1161"/>
      <c r="AM44" s="1162"/>
      <c r="AN44" s="1162"/>
      <c r="AO44" s="1163"/>
      <c r="AP44" s="1161"/>
      <c r="AQ44" s="1162"/>
      <c r="AR44" s="1162"/>
      <c r="AS44" s="1163"/>
      <c r="AT44" s="189" t="s">
        <v>479</v>
      </c>
      <c r="AU44" s="189" t="s">
        <v>480</v>
      </c>
      <c r="AV44" s="189" t="s">
        <v>479</v>
      </c>
      <c r="AW44" s="189" t="s">
        <v>480</v>
      </c>
      <c r="AX44" s="134" t="s">
        <v>447</v>
      </c>
      <c r="AY44" s="1078" t="s">
        <v>448</v>
      </c>
      <c r="AZ44" s="1092"/>
      <c r="BA44" s="1130"/>
      <c r="BB44" s="1133"/>
      <c r="BC44" s="995"/>
      <c r="BI44" s="17">
        <v>14</v>
      </c>
    </row>
    <row r="45" spans="1:61" ht="11.25" hidden="1" customHeight="1">
      <c r="Q45" s="348"/>
      <c r="R45" s="348">
        <v>1</v>
      </c>
      <c r="S45" s="349" t="s">
        <v>110</v>
      </c>
      <c r="T45" s="350" t="s">
        <v>111</v>
      </c>
      <c r="U45" s="351" t="str">
        <f ca="1">OFFSET(U45,0,-1)</f>
        <v>2</v>
      </c>
      <c r="V45" s="352">
        <f t="shared" ref="V45:AA45" ca="1" si="2">OFFSET(V45,0,-1)+1</f>
        <v>3</v>
      </c>
      <c r="W45" s="352">
        <f t="shared" ca="1" si="2"/>
        <v>4</v>
      </c>
      <c r="X45" s="352">
        <f t="shared" ca="1" si="2"/>
        <v>5</v>
      </c>
      <c r="Y45" s="352">
        <f t="shared" ca="1" si="2"/>
        <v>6</v>
      </c>
      <c r="Z45" s="352">
        <f t="shared" ca="1" si="2"/>
        <v>7</v>
      </c>
      <c r="AA45" s="1122">
        <f t="shared" ca="1" si="2"/>
        <v>8</v>
      </c>
      <c r="AB45" s="1122"/>
      <c r="AC45" s="352">
        <f ca="1">OFFSET(AC45,0,-2)+1</f>
        <v>9</v>
      </c>
      <c r="AD45" s="352">
        <f ca="1">OFFSET(AD45,0,-1)+1</f>
        <v>10</v>
      </c>
      <c r="AE45" s="352"/>
      <c r="AF45" s="352"/>
      <c r="AG45" s="352"/>
      <c r="AH45" s="352"/>
      <c r="AI45" s="352"/>
      <c r="AJ45" s="352"/>
      <c r="AK45" s="352"/>
      <c r="AL45" s="352"/>
      <c r="AM45" s="352"/>
      <c r="AN45" s="352"/>
      <c r="AO45" s="352"/>
      <c r="AP45" s="352"/>
      <c r="AQ45" s="352"/>
      <c r="AR45" s="352"/>
      <c r="AS45" s="352"/>
      <c r="AT45" s="352"/>
      <c r="AU45" s="352"/>
      <c r="AV45" s="352"/>
      <c r="AW45" s="352">
        <f ca="1">OFFSET(AW45,0,-1)+1</f>
        <v>1</v>
      </c>
      <c r="AX45" s="352">
        <f ca="1">OFFSET(AX45,0,-1)+1</f>
        <v>2</v>
      </c>
      <c r="AY45" s="1122">
        <f ca="1">OFFSET(AY45,0,-1)+1</f>
        <v>3</v>
      </c>
      <c r="AZ45" s="1122"/>
      <c r="BA45" s="352">
        <f ca="1">OFFSET(BA45,0,-2)+1</f>
        <v>4</v>
      </c>
      <c r="BB45" s="351">
        <f ca="1">OFFSET(BB45,0,-1)</f>
        <v>4</v>
      </c>
      <c r="BC45" s="352">
        <f ca="1">OFFSET(BC45,0,-1)+1</f>
        <v>5</v>
      </c>
      <c r="BI45" s="258">
        <v>0</v>
      </c>
    </row>
    <row r="46" spans="1:61" ht="21.95" customHeight="1">
      <c r="A46" s="353" t="s">
        <v>247</v>
      </c>
      <c r="E46" s="1111">
        <v>1</v>
      </c>
      <c r="R46" s="294"/>
      <c r="S46" s="295">
        <f>INDEX(PT_DIFFERENTIATION_NUM_NTAR,MATCH(A46,PT_DIFFERENTIATION_NTAR_ID,0))</f>
        <v>0</v>
      </c>
      <c r="T46" s="296" t="s">
        <v>126</v>
      </c>
      <c r="U46" s="297"/>
      <c r="V46" s="1107"/>
      <c r="W46" s="1107"/>
      <c r="X46" s="1107"/>
      <c r="Y46" s="1107"/>
      <c r="Z46" s="1107"/>
      <c r="AA46" s="1107"/>
      <c r="AB46" s="1107"/>
      <c r="AC46" s="1108"/>
      <c r="AD46" s="1106" t="str">
        <f>INDEX(PT_DIFFERENTIATION_NTAR,MATCH(A46,PT_DIFFERENTIATION_NTAR_ID,0))</f>
        <v/>
      </c>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8"/>
      <c r="BC46"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87" t="str">
        <f t="shared" ref="BF46:BF52" si="3">IF(T46="","",T46)</f>
        <v>Наименование тарифа</v>
      </c>
      <c r="BI46" s="17">
        <v>21</v>
      </c>
    </row>
    <row r="47" spans="1:61" ht="21.95" customHeight="1">
      <c r="A47" s="353" t="s">
        <v>247</v>
      </c>
      <c r="B47" s="353" t="s">
        <v>248</v>
      </c>
      <c r="E47" s="1112"/>
      <c r="F47" s="1111">
        <v>1</v>
      </c>
      <c r="Q47" s="397"/>
      <c r="R47" s="301"/>
      <c r="S47" s="295" t="str">
        <f>INDEX(PT_DIFFERENTIATION_NUM_TER,MATCH(B47,PT_DIFFERENTIATION_TER_ID,0))</f>
        <v>.</v>
      </c>
      <c r="T47" s="302" t="s">
        <v>398</v>
      </c>
      <c r="U47" s="297"/>
      <c r="V47" s="1107"/>
      <c r="W47" s="1107"/>
      <c r="X47" s="1107"/>
      <c r="Y47" s="1107"/>
      <c r="Z47" s="1107"/>
      <c r="AA47" s="1107"/>
      <c r="AB47" s="1107"/>
      <c r="AC47" s="1108"/>
      <c r="AD47" s="1106" t="str">
        <f>INDEX(PT_DIFFERENTIATION_TER,MATCH(B47,PT_DIFFERENTIATION_TER_ID,0))</f>
        <v/>
      </c>
      <c r="AE47" s="1107"/>
      <c r="AF47" s="1107"/>
      <c r="AG47" s="1107"/>
      <c r="AH47" s="1107"/>
      <c r="AI47" s="1107"/>
      <c r="AJ47" s="1107"/>
      <c r="AK47" s="1107"/>
      <c r="AL47" s="1107"/>
      <c r="AM47" s="1107"/>
      <c r="AN47" s="1107"/>
      <c r="AO47" s="1107"/>
      <c r="AP47" s="1107"/>
      <c r="AQ47" s="1107"/>
      <c r="AR47" s="1107"/>
      <c r="AS47" s="1107"/>
      <c r="AT47" s="1107"/>
      <c r="AU47" s="1107"/>
      <c r="AV47" s="1107"/>
      <c r="AW47" s="1107"/>
      <c r="AX47" s="1107"/>
      <c r="AY47" s="1107"/>
      <c r="AZ47" s="1107"/>
      <c r="BA47" s="1107"/>
      <c r="BB47" s="1108"/>
      <c r="BC47" s="299" t="s">
        <v>399</v>
      </c>
      <c r="BF47" s="87" t="str">
        <f t="shared" si="3"/>
        <v>Территория действия тарифа</v>
      </c>
      <c r="BI47" s="17">
        <v>21</v>
      </c>
    </row>
    <row r="48" spans="1:61" ht="43.15" customHeight="1">
      <c r="A48" s="353" t="s">
        <v>247</v>
      </c>
      <c r="B48" s="353" t="s">
        <v>248</v>
      </c>
      <c r="C48" s="353" t="s">
        <v>249</v>
      </c>
      <c r="E48" s="1112"/>
      <c r="F48" s="1112"/>
      <c r="G48" s="1111">
        <v>1</v>
      </c>
      <c r="Q48" s="397"/>
      <c r="R48" s="301"/>
      <c r="S48" s="295" t="str">
        <f>INDEX(PT_DIFFERENTIATION_NUM_CS,MATCH(C48,PT_DIFFERENTIATION_CS_ID,0))</f>
        <v>..</v>
      </c>
      <c r="T48" s="303" t="s">
        <v>482</v>
      </c>
      <c r="U48" s="297"/>
      <c r="V48" s="1107"/>
      <c r="W48" s="1107"/>
      <c r="X48" s="1107"/>
      <c r="Y48" s="1107"/>
      <c r="Z48" s="1107"/>
      <c r="AA48" s="1107"/>
      <c r="AB48" s="1107"/>
      <c r="AC48" s="1108"/>
      <c r="AD48" s="1106" t="str">
        <f>INDEX(PT_DIFFERENTIATION_CS,MATCH(C48,PT_DIFFERENTIATION_CS_ID,0))</f>
        <v/>
      </c>
      <c r="AE48" s="1107"/>
      <c r="AF48" s="1107"/>
      <c r="AG48" s="1107"/>
      <c r="AH48" s="1107"/>
      <c r="AI48" s="1107"/>
      <c r="AJ48" s="1107"/>
      <c r="AK48" s="1107"/>
      <c r="AL48" s="1107"/>
      <c r="AM48" s="1107"/>
      <c r="AN48" s="1107"/>
      <c r="AO48" s="1107"/>
      <c r="AP48" s="1107"/>
      <c r="AQ48" s="1107"/>
      <c r="AR48" s="1107"/>
      <c r="AS48" s="1107"/>
      <c r="AT48" s="1107"/>
      <c r="AU48" s="1107"/>
      <c r="AV48" s="1107"/>
      <c r="AW48" s="1107"/>
      <c r="AX48" s="1107"/>
      <c r="AY48" s="1107"/>
      <c r="AZ48" s="1107"/>
      <c r="BA48" s="1107"/>
      <c r="BB48" s="1108"/>
      <c r="BC48" s="299" t="s">
        <v>483</v>
      </c>
      <c r="BF48" s="87" t="str">
        <f t="shared" si="3"/>
        <v>Наименование централизованной системы холодного водоснабжения</v>
      </c>
      <c r="BI48" s="17">
        <v>41</v>
      </c>
    </row>
    <row r="49" spans="1:61" ht="0" hidden="1" customHeight="1">
      <c r="A49" s="72" t="s">
        <v>247</v>
      </c>
      <c r="B49" s="72" t="s">
        <v>248</v>
      </c>
      <c r="C49" s="72" t="s">
        <v>249</v>
      </c>
      <c r="D49" s="72" t="s">
        <v>516</v>
      </c>
      <c r="E49" s="1112"/>
      <c r="F49" s="1112"/>
      <c r="G49" s="1112"/>
      <c r="H49" s="1111">
        <v>1</v>
      </c>
      <c r="Q49" s="435"/>
      <c r="R49" s="309"/>
      <c r="S49" s="193"/>
      <c r="T49" s="436"/>
      <c r="U49" s="364"/>
      <c r="V49" s="1143"/>
      <c r="W49" s="1143"/>
      <c r="X49" s="1143"/>
      <c r="Y49" s="1143"/>
      <c r="Z49" s="1143"/>
      <c r="AA49" s="1143"/>
      <c r="AB49" s="1143"/>
      <c r="AC49" s="1144"/>
      <c r="AD49" s="1142"/>
      <c r="AE49" s="1143"/>
      <c r="AF49" s="1143"/>
      <c r="AG49" s="1143"/>
      <c r="AH49" s="1143"/>
      <c r="AI49" s="1143"/>
      <c r="AJ49" s="1143"/>
      <c r="AK49" s="1143"/>
      <c r="AL49" s="1143"/>
      <c r="AM49" s="1143"/>
      <c r="AN49" s="1143"/>
      <c r="AO49" s="1143"/>
      <c r="AP49" s="1143"/>
      <c r="AQ49" s="1143"/>
      <c r="AR49" s="1143"/>
      <c r="AS49" s="1143"/>
      <c r="AT49" s="1143"/>
      <c r="AU49" s="1143"/>
      <c r="AV49" s="1143"/>
      <c r="AW49" s="1143"/>
      <c r="AX49" s="1143"/>
      <c r="AY49" s="1143"/>
      <c r="AZ49" s="1143"/>
      <c r="BA49" s="1143"/>
      <c r="BB49" s="1144"/>
      <c r="BC49" s="366" t="s">
        <v>403</v>
      </c>
      <c r="BF49" s="87" t="str">
        <f t="shared" si="3"/>
        <v/>
      </c>
      <c r="BI49" s="75">
        <v>0</v>
      </c>
    </row>
    <row r="50" spans="1:61" ht="0" hidden="1" customHeight="1">
      <c r="A50" s="72" t="s">
        <v>247</v>
      </c>
      <c r="B50" s="72" t="s">
        <v>248</v>
      </c>
      <c r="C50" s="72" t="s">
        <v>249</v>
      </c>
      <c r="D50" s="72" t="s">
        <v>516</v>
      </c>
      <c r="E50" s="1112"/>
      <c r="F50" s="1112"/>
      <c r="G50" s="1112"/>
      <c r="H50" s="1112"/>
      <c r="I50" s="1113" t="str">
        <f>S49&amp;".1"</f>
        <v>.1</v>
      </c>
      <c r="L50" s="371" t="s">
        <v>404</v>
      </c>
      <c r="P50" s="1115">
        <v>1</v>
      </c>
      <c r="R50" s="307"/>
      <c r="S50" s="193"/>
      <c r="T50" s="363"/>
      <c r="U50" s="364"/>
      <c r="V50" s="1143"/>
      <c r="W50" s="1143"/>
      <c r="X50" s="1143"/>
      <c r="Y50" s="1143"/>
      <c r="Z50" s="1143"/>
      <c r="AA50" s="1143"/>
      <c r="AB50" s="1143"/>
      <c r="AC50" s="1144"/>
      <c r="AD50" s="1142"/>
      <c r="AE50" s="1143"/>
      <c r="AF50" s="1143"/>
      <c r="AG50" s="1143"/>
      <c r="AH50" s="1143"/>
      <c r="AI50" s="1143"/>
      <c r="AJ50" s="1143"/>
      <c r="AK50" s="1143"/>
      <c r="AL50" s="1143"/>
      <c r="AM50" s="1143"/>
      <c r="AN50" s="1143"/>
      <c r="AO50" s="1143"/>
      <c r="AP50" s="1143"/>
      <c r="AQ50" s="1143"/>
      <c r="AR50" s="1143"/>
      <c r="AS50" s="1143"/>
      <c r="AT50" s="1143"/>
      <c r="AU50" s="1143"/>
      <c r="AV50" s="1143"/>
      <c r="AW50" s="1143"/>
      <c r="AX50" s="1143"/>
      <c r="AY50" s="1143"/>
      <c r="AZ50" s="1143"/>
      <c r="BA50" s="1143"/>
      <c r="BB50" s="1144"/>
      <c r="BC50" s="366"/>
      <c r="BF50" s="87" t="str">
        <f t="shared" si="3"/>
        <v/>
      </c>
      <c r="BI50" s="75">
        <v>0</v>
      </c>
    </row>
    <row r="51" spans="1:61" ht="0" hidden="1" customHeight="1">
      <c r="A51" s="72" t="s">
        <v>247</v>
      </c>
      <c r="B51" s="72" t="s">
        <v>248</v>
      </c>
      <c r="C51" s="72" t="s">
        <v>249</v>
      </c>
      <c r="D51" s="72" t="s">
        <v>516</v>
      </c>
      <c r="E51" s="1112"/>
      <c r="F51" s="1112"/>
      <c r="G51" s="1112"/>
      <c r="H51" s="1112"/>
      <c r="I51" s="1114"/>
      <c r="J51" s="1113" t="str">
        <f>S49&amp;".1"</f>
        <v>.1</v>
      </c>
      <c r="P51" s="964"/>
      <c r="Q51" s="1115">
        <v>1</v>
      </c>
      <c r="R51" s="309"/>
      <c r="S51" s="193"/>
      <c r="T51" s="398"/>
      <c r="U51" s="364"/>
      <c r="V51" s="1143"/>
      <c r="W51" s="1143"/>
      <c r="X51" s="1143"/>
      <c r="Y51" s="1143"/>
      <c r="Z51" s="1143"/>
      <c r="AA51" s="1143"/>
      <c r="AB51" s="1143"/>
      <c r="AC51" s="1144"/>
      <c r="AD51" s="1142"/>
      <c r="AE51" s="1143"/>
      <c r="AF51" s="1143"/>
      <c r="AG51" s="1143"/>
      <c r="AH51" s="1143"/>
      <c r="AI51" s="1143"/>
      <c r="AJ51" s="1143"/>
      <c r="AK51" s="1143"/>
      <c r="AL51" s="1143"/>
      <c r="AM51" s="1143"/>
      <c r="AN51" s="1194"/>
      <c r="AO51" s="1194"/>
      <c r="AP51" s="1143"/>
      <c r="AQ51" s="1143"/>
      <c r="AR51" s="1143"/>
      <c r="AS51" s="1143"/>
      <c r="AT51" s="1143"/>
      <c r="AU51" s="1143"/>
      <c r="AV51" s="1143"/>
      <c r="AW51" s="1143"/>
      <c r="AX51" s="1143"/>
      <c r="AY51" s="1143"/>
      <c r="AZ51" s="1143"/>
      <c r="BA51" s="1143"/>
      <c r="BB51" s="1144"/>
      <c r="BC51" s="366"/>
      <c r="BF51" s="87" t="str">
        <f t="shared" si="3"/>
        <v/>
      </c>
      <c r="BI51" s="75">
        <v>0</v>
      </c>
    </row>
    <row r="52" spans="1:61" ht="11.45" customHeight="1">
      <c r="A52" s="353" t="s">
        <v>247</v>
      </c>
      <c r="B52" s="353" t="s">
        <v>248</v>
      </c>
      <c r="C52" s="353" t="s">
        <v>249</v>
      </c>
      <c r="D52" s="353" t="s">
        <v>516</v>
      </c>
      <c r="E52" s="1112"/>
      <c r="F52" s="1112"/>
      <c r="G52" s="1112"/>
      <c r="H52" s="1112"/>
      <c r="I52" s="1114"/>
      <c r="J52" s="1114"/>
      <c r="K52" s="1113" t="str">
        <f>S48&amp;".1"</f>
        <v>...1</v>
      </c>
      <c r="P52" s="964"/>
      <c r="Q52" s="964"/>
      <c r="R52" s="309">
        <v>1</v>
      </c>
      <c r="S52" s="1168" t="str">
        <f>$K52</f>
        <v>...1</v>
      </c>
      <c r="T52" s="1188"/>
      <c r="U52" s="297"/>
      <c r="V52" s="312"/>
      <c r="W52" s="314"/>
      <c r="X52" s="312"/>
      <c r="Y52" s="314"/>
      <c r="Z52" s="315"/>
      <c r="AA52" s="122" t="s">
        <v>66</v>
      </c>
      <c r="AB52" s="315"/>
      <c r="AC52" s="122" t="s">
        <v>66</v>
      </c>
      <c r="AD52" s="1059" t="s">
        <v>66</v>
      </c>
      <c r="AE52" s="1164"/>
      <c r="AF52" s="1069">
        <v>1</v>
      </c>
      <c r="AG52" s="1187"/>
      <c r="AH52" s="1004" t="s">
        <v>66</v>
      </c>
      <c r="AI52" s="1164"/>
      <c r="AJ52" s="1069">
        <v>1</v>
      </c>
      <c r="AK52" s="1178" t="s">
        <v>22</v>
      </c>
      <c r="AL52" s="1004" t="s">
        <v>66</v>
      </c>
      <c r="AM52" s="1047"/>
      <c r="AN52" s="1069">
        <v>1</v>
      </c>
      <c r="AO52" s="1191"/>
      <c r="AP52" s="1192" t="s">
        <v>66</v>
      </c>
      <c r="AQ52" s="401"/>
      <c r="AR52" s="187">
        <v>1</v>
      </c>
      <c r="AS52" s="43" t="s">
        <v>22</v>
      </c>
      <c r="AT52" s="312"/>
      <c r="AU52" s="314"/>
      <c r="AV52" s="312"/>
      <c r="AW52" s="314"/>
      <c r="AX52" s="315"/>
      <c r="AY52" s="122" t="s">
        <v>66</v>
      </c>
      <c r="AZ52" s="315"/>
      <c r="BA52" s="122" t="s">
        <v>66</v>
      </c>
      <c r="BB52" s="354"/>
      <c r="BC52" s="1134" t="s">
        <v>502</v>
      </c>
      <c r="BF52" s="87" t="str">
        <f t="shared" si="3"/>
        <v/>
      </c>
      <c r="BI52" s="17">
        <v>11</v>
      </c>
    </row>
    <row r="53" spans="1:61" ht="11.45" customHeight="1">
      <c r="E53" s="1112"/>
      <c r="F53" s="1112"/>
      <c r="G53" s="1112"/>
      <c r="H53" s="1112"/>
      <c r="I53" s="1114"/>
      <c r="J53" s="1114"/>
      <c r="K53" s="1113"/>
      <c r="P53" s="964"/>
      <c r="Q53" s="964"/>
      <c r="R53" s="309"/>
      <c r="S53" s="1169"/>
      <c r="T53" s="1189"/>
      <c r="U53" s="297"/>
      <c r="V53" s="391"/>
      <c r="W53" s="404"/>
      <c r="X53" s="391"/>
      <c r="Y53" s="404"/>
      <c r="Z53" s="391"/>
      <c r="AA53" s="391"/>
      <c r="AB53" s="391"/>
      <c r="AC53" s="391"/>
      <c r="AD53" s="1060"/>
      <c r="AE53" s="1164"/>
      <c r="AF53" s="1069"/>
      <c r="AG53" s="1187"/>
      <c r="AH53" s="1004"/>
      <c r="AI53" s="1164"/>
      <c r="AJ53" s="1069"/>
      <c r="AK53" s="1178"/>
      <c r="AL53" s="1004"/>
      <c r="AM53" s="1052"/>
      <c r="AN53" s="1069"/>
      <c r="AO53" s="1191"/>
      <c r="AP53" s="1193"/>
      <c r="AQ53" s="403"/>
      <c r="AR53" s="105"/>
      <c r="AS53" s="105" t="s">
        <v>503</v>
      </c>
      <c r="AT53" s="391"/>
      <c r="AU53" s="404"/>
      <c r="AV53" s="391"/>
      <c r="AW53" s="404"/>
      <c r="AX53" s="391"/>
      <c r="AY53" s="391"/>
      <c r="AZ53" s="391"/>
      <c r="BA53" s="391"/>
      <c r="BB53" s="402"/>
      <c r="BC53" s="1135"/>
      <c r="BI53" s="17">
        <v>11</v>
      </c>
    </row>
    <row r="54" spans="1:61" ht="11.45" customHeight="1">
      <c r="A54" s="353" t="s">
        <v>247</v>
      </c>
      <c r="E54" s="1112"/>
      <c r="F54" s="1112"/>
      <c r="G54" s="1112"/>
      <c r="H54" s="1112"/>
      <c r="I54" s="1114"/>
      <c r="J54" s="1114"/>
      <c r="K54" s="1113"/>
      <c r="P54" s="964"/>
      <c r="Q54" s="964"/>
      <c r="R54" s="309"/>
      <c r="S54" s="1169"/>
      <c r="T54" s="1189"/>
      <c r="U54" s="297"/>
      <c r="V54" s="391"/>
      <c r="W54" s="404"/>
      <c r="X54" s="391"/>
      <c r="Y54" s="404"/>
      <c r="Z54" s="391"/>
      <c r="AA54" s="391"/>
      <c r="AB54" s="391"/>
      <c r="AC54" s="391"/>
      <c r="AD54" s="1060"/>
      <c r="AE54" s="1164"/>
      <c r="AF54" s="1069"/>
      <c r="AG54" s="1187"/>
      <c r="AH54" s="1004"/>
      <c r="AI54" s="1164"/>
      <c r="AJ54" s="1069"/>
      <c r="AK54" s="1178"/>
      <c r="AL54" s="1004"/>
      <c r="AM54" s="403"/>
      <c r="AN54" s="437"/>
      <c r="AO54" s="437" t="s">
        <v>504</v>
      </c>
      <c r="AP54" s="105"/>
      <c r="AQ54" s="105"/>
      <c r="AR54" s="105"/>
      <c r="AS54" s="391"/>
      <c r="AT54" s="391"/>
      <c r="AU54" s="404"/>
      <c r="AV54" s="391"/>
      <c r="AW54" s="404"/>
      <c r="AX54" s="391"/>
      <c r="AY54" s="391"/>
      <c r="AZ54" s="391"/>
      <c r="BA54" s="391"/>
      <c r="BB54" s="402"/>
      <c r="BC54" s="1135"/>
      <c r="BI54" s="17">
        <v>11</v>
      </c>
    </row>
    <row r="55" spans="1:61" ht="11.45" customHeight="1">
      <c r="A55" s="353" t="s">
        <v>247</v>
      </c>
      <c r="E55" s="1112"/>
      <c r="F55" s="1112"/>
      <c r="G55" s="1112"/>
      <c r="H55" s="1112"/>
      <c r="I55" s="1114"/>
      <c r="J55" s="1114"/>
      <c r="K55" s="1113"/>
      <c r="P55" s="964"/>
      <c r="Q55" s="964"/>
      <c r="R55" s="309"/>
      <c r="S55" s="1169"/>
      <c r="T55" s="1189"/>
      <c r="U55" s="297"/>
      <c r="V55" s="391"/>
      <c r="W55" s="404"/>
      <c r="X55" s="391"/>
      <c r="Y55" s="404"/>
      <c r="Z55" s="391"/>
      <c r="AA55" s="391"/>
      <c r="AB55" s="391"/>
      <c r="AC55" s="391"/>
      <c r="AD55" s="1060"/>
      <c r="AE55" s="1164"/>
      <c r="AF55" s="1069"/>
      <c r="AG55" s="1187"/>
      <c r="AH55" s="1004"/>
      <c r="AI55" s="406"/>
      <c r="AJ55" s="100"/>
      <c r="AK55" s="269" t="s">
        <v>505</v>
      </c>
      <c r="AL55" s="391"/>
      <c r="AM55" s="391"/>
      <c r="AN55" s="391"/>
      <c r="AO55" s="391"/>
      <c r="AP55" s="391"/>
      <c r="AQ55" s="391"/>
      <c r="AR55" s="391"/>
      <c r="AS55" s="391"/>
      <c r="AT55" s="391"/>
      <c r="AU55" s="404"/>
      <c r="AV55" s="391"/>
      <c r="AW55" s="404"/>
      <c r="AX55" s="391"/>
      <c r="AY55" s="391"/>
      <c r="AZ55" s="391"/>
      <c r="BA55" s="391"/>
      <c r="BB55" s="402"/>
      <c r="BC55" s="1135"/>
      <c r="BI55" s="17">
        <v>11</v>
      </c>
    </row>
    <row r="56" spans="1:61" ht="11.45" customHeight="1">
      <c r="A56" s="353" t="s">
        <v>247</v>
      </c>
      <c r="B56" s="353" t="s">
        <v>248</v>
      </c>
      <c r="C56" s="353" t="s">
        <v>249</v>
      </c>
      <c r="D56" s="353" t="s">
        <v>516</v>
      </c>
      <c r="E56" s="1112"/>
      <c r="F56" s="1112"/>
      <c r="G56" s="1112"/>
      <c r="H56" s="1112"/>
      <c r="I56" s="1114"/>
      <c r="J56" s="1114"/>
      <c r="K56" s="1113"/>
      <c r="P56" s="964"/>
      <c r="Q56" s="964"/>
      <c r="R56" s="309"/>
      <c r="S56" s="1170"/>
      <c r="T56" s="1190"/>
      <c r="U56" s="297"/>
      <c r="V56" s="391"/>
      <c r="W56" s="392" t="str">
        <f>Z52&amp;"-"&amp;AB52</f>
        <v>-</v>
      </c>
      <c r="X56" s="391"/>
      <c r="Y56" s="392" t="str">
        <f>AB52&amp;"-"&amp;AD52</f>
        <v>-да</v>
      </c>
      <c r="Z56" s="391"/>
      <c r="AA56" s="391"/>
      <c r="AB56" s="391"/>
      <c r="AC56" s="391"/>
      <c r="AD56" s="1009"/>
      <c r="AE56" s="408"/>
      <c r="AF56" s="409"/>
      <c r="AG56" s="105" t="s">
        <v>506</v>
      </c>
      <c r="AH56" s="391"/>
      <c r="AI56" s="391"/>
      <c r="AJ56" s="391"/>
      <c r="AK56" s="391"/>
      <c r="AL56" s="391"/>
      <c r="AM56" s="391"/>
      <c r="AN56" s="391"/>
      <c r="AO56" s="391"/>
      <c r="AP56" s="391"/>
      <c r="AQ56" s="391"/>
      <c r="AR56" s="391"/>
      <c r="AS56" s="391"/>
      <c r="AT56" s="391"/>
      <c r="AU56" s="392" t="str">
        <f>AX52&amp;"-"&amp;AZ52</f>
        <v>-</v>
      </c>
      <c r="AV56" s="391"/>
      <c r="AW56" s="392" t="str">
        <f>AZ52&amp;"-"&amp;BB52</f>
        <v>-</v>
      </c>
      <c r="AX56" s="391"/>
      <c r="AY56" s="391"/>
      <c r="AZ56" s="391"/>
      <c r="BA56" s="391"/>
      <c r="BB56" s="407" t="str">
        <f>BE52&amp;"-"&amp;BG52</f>
        <v>-</v>
      </c>
      <c r="BC56" s="1135"/>
      <c r="BF56" s="87" t="str">
        <f t="shared" ref="BF56:BF63" si="4">IF(T56="","",T56)</f>
        <v/>
      </c>
      <c r="BI56" s="17">
        <v>11</v>
      </c>
    </row>
    <row r="57" spans="1:61" ht="11.45" customHeight="1">
      <c r="A57" s="353" t="s">
        <v>247</v>
      </c>
      <c r="B57" s="353" t="s">
        <v>248</v>
      </c>
      <c r="C57" s="353" t="s">
        <v>249</v>
      </c>
      <c r="D57" s="353" t="s">
        <v>516</v>
      </c>
      <c r="E57" s="1112"/>
      <c r="F57" s="1112"/>
      <c r="G57" s="1112"/>
      <c r="H57" s="1112"/>
      <c r="I57" s="1114"/>
      <c r="J57" s="1113"/>
      <c r="P57" s="964"/>
      <c r="Q57" s="964"/>
      <c r="R57" s="307"/>
      <c r="S57" s="318"/>
      <c r="T57" s="321" t="s">
        <v>469</v>
      </c>
      <c r="U57" s="117"/>
      <c r="V57" s="117"/>
      <c r="W57" s="117"/>
      <c r="X57" s="117"/>
      <c r="Y57" s="117"/>
      <c r="Z57" s="117"/>
      <c r="AA57" s="117"/>
      <c r="AB57" s="117"/>
      <c r="AC57" s="320"/>
      <c r="AD57" s="422"/>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320"/>
      <c r="BC57" s="1136"/>
      <c r="BF57" s="87" t="str">
        <f t="shared" si="4"/>
        <v>Добавить строку</v>
      </c>
      <c r="BI57" s="17">
        <v>11</v>
      </c>
    </row>
    <row r="58" spans="1:61" ht="0" hidden="1" customHeight="1">
      <c r="A58" s="72" t="s">
        <v>247</v>
      </c>
      <c r="B58" s="72" t="s">
        <v>248</v>
      </c>
      <c r="C58" s="72" t="s">
        <v>249</v>
      </c>
      <c r="D58" s="72" t="s">
        <v>516</v>
      </c>
      <c r="E58" s="1112"/>
      <c r="F58" s="1112"/>
      <c r="G58" s="1112"/>
      <c r="H58" s="1112"/>
      <c r="I58" s="1113"/>
      <c r="P58" s="964"/>
      <c r="R58" s="307"/>
      <c r="S58" s="367"/>
      <c r="T58" s="368"/>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70"/>
      <c r="BF58" s="87" t="str">
        <f t="shared" si="4"/>
        <v/>
      </c>
      <c r="BI58" s="75">
        <v>0</v>
      </c>
    </row>
    <row r="59" spans="1:61" ht="0" hidden="1" customHeight="1">
      <c r="A59" s="72" t="s">
        <v>247</v>
      </c>
      <c r="B59" s="72" t="s">
        <v>248</v>
      </c>
      <c r="C59" s="72" t="s">
        <v>249</v>
      </c>
      <c r="D59" s="72" t="s">
        <v>516</v>
      </c>
      <c r="E59" s="1112"/>
      <c r="F59" s="1112"/>
      <c r="G59" s="1112"/>
      <c r="H59" s="1111"/>
      <c r="R59" s="410"/>
      <c r="S59" s="367"/>
      <c r="T59" s="368"/>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70"/>
      <c r="BF59" s="87" t="str">
        <f t="shared" si="4"/>
        <v/>
      </c>
      <c r="BI59" s="75">
        <v>0</v>
      </c>
    </row>
    <row r="60" spans="1:61" ht="0" hidden="1" customHeight="1">
      <c r="A60" s="72" t="s">
        <v>247</v>
      </c>
      <c r="B60" s="72" t="s">
        <v>248</v>
      </c>
      <c r="C60" s="72" t="s">
        <v>249</v>
      </c>
      <c r="E60" s="1112"/>
      <c r="F60" s="1112"/>
      <c r="G60" s="1111"/>
      <c r="BF60" s="87" t="str">
        <f t="shared" si="4"/>
        <v/>
      </c>
      <c r="BI60" s="75">
        <v>0</v>
      </c>
    </row>
    <row r="61" spans="1:61" ht="0" hidden="1" customHeight="1">
      <c r="A61" s="72" t="s">
        <v>247</v>
      </c>
      <c r="B61" s="72" t="s">
        <v>248</v>
      </c>
      <c r="E61" s="1112"/>
      <c r="F61" s="1111"/>
      <c r="T61" s="329" t="s">
        <v>416</v>
      </c>
      <c r="BF61" s="87" t="str">
        <f t="shared" si="4"/>
        <v>Добавить централизованную систему для дифференциации</v>
      </c>
      <c r="BI61" s="75">
        <v>0</v>
      </c>
    </row>
    <row r="62" spans="1:61" ht="0" hidden="1" customHeight="1">
      <c r="A62" s="72" t="s">
        <v>247</v>
      </c>
      <c r="E62" s="1111"/>
      <c r="T62" s="329" t="s">
        <v>417</v>
      </c>
      <c r="BF62" s="87" t="str">
        <f t="shared" si="4"/>
        <v>Добавить территорию для дифференциации</v>
      </c>
      <c r="BI62" s="75">
        <v>0</v>
      </c>
    </row>
    <row r="63" spans="1:61" ht="0" hidden="1" customHeight="1">
      <c r="T63" s="329" t="s">
        <v>449</v>
      </c>
      <c r="BF63" s="87" t="str">
        <f t="shared" si="4"/>
        <v>Добавить наименование тарифа</v>
      </c>
      <c r="BI63" s="75">
        <v>0</v>
      </c>
    </row>
    <row r="64" spans="1:61" ht="11.45" customHeight="1">
      <c r="BI64" s="17">
        <v>11</v>
      </c>
    </row>
    <row r="65" spans="1:61" ht="19.899999999999999" customHeight="1">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I65" s="17">
        <v>19</v>
      </c>
    </row>
    <row r="66" spans="1:61" ht="14.65" customHeight="1">
      <c r="BI66" s="17">
        <v>14</v>
      </c>
    </row>
    <row r="67" spans="1:61" ht="19.899999999999999" customHeight="1">
      <c r="T67" s="964"/>
      <c r="U67" s="964"/>
      <c r="V67" s="964"/>
      <c r="W67" s="964"/>
      <c r="X67" s="964"/>
      <c r="Y67" s="964"/>
      <c r="Z67" s="964"/>
      <c r="AA67" s="964"/>
      <c r="AB67" s="964"/>
      <c r="AC67" s="964"/>
      <c r="AD67" s="964"/>
      <c r="AE67" s="964"/>
      <c r="AF67" s="964"/>
      <c r="AG67" s="964"/>
      <c r="AH67" s="964"/>
      <c r="AI67" s="964"/>
      <c r="AJ67" s="964"/>
      <c r="AK67" s="964"/>
      <c r="AL67" s="964"/>
      <c r="AM67" s="964"/>
      <c r="AN67" s="964"/>
      <c r="AO67" s="964"/>
      <c r="AP67" s="964"/>
      <c r="AQ67" s="964"/>
      <c r="AR67" s="964"/>
      <c r="AS67" s="964"/>
      <c r="AT67" s="964"/>
      <c r="AU67" s="964"/>
      <c r="AV67" s="964"/>
      <c r="AW67" s="964"/>
      <c r="AX67" s="964"/>
      <c r="AY67" s="964"/>
      <c r="AZ67" s="964"/>
      <c r="BA67" s="964"/>
      <c r="BB67" s="964"/>
      <c r="BC67" s="964"/>
      <c r="BI67" s="17">
        <v>19</v>
      </c>
    </row>
    <row r="68" spans="1:61" ht="14.65" customHeight="1">
      <c r="BI68" s="17">
        <v>14</v>
      </c>
    </row>
    <row r="69" spans="1:61" ht="14.25" hidden="1" customHeight="1">
      <c r="A69" s="37" t="s">
        <v>82</v>
      </c>
      <c r="B69" s="37">
        <v>0</v>
      </c>
      <c r="C69" s="37">
        <v>0</v>
      </c>
      <c r="D69" s="37">
        <v>0</v>
      </c>
      <c r="E69" s="37">
        <v>0</v>
      </c>
      <c r="F69" s="37">
        <v>0</v>
      </c>
      <c r="G69" s="37">
        <v>0</v>
      </c>
      <c r="H69" s="37">
        <v>0</v>
      </c>
      <c r="I69" s="37">
        <v>0</v>
      </c>
      <c r="J69" s="37">
        <v>0</v>
      </c>
      <c r="K69" s="37">
        <v>0</v>
      </c>
      <c r="L69" s="240">
        <v>0</v>
      </c>
      <c r="M69" s="41">
        <v>0</v>
      </c>
      <c r="N69" s="41">
        <v>0</v>
      </c>
      <c r="O69" s="41">
        <v>0</v>
      </c>
      <c r="P69" s="41">
        <v>0</v>
      </c>
      <c r="Q69" s="424">
        <v>0</v>
      </c>
      <c r="R69" s="357">
        <v>3</v>
      </c>
      <c r="S69" s="33">
        <v>12</v>
      </c>
      <c r="T69" s="17">
        <v>31</v>
      </c>
      <c r="U69" s="17">
        <v>0</v>
      </c>
      <c r="V69" s="17">
        <v>0</v>
      </c>
      <c r="W69" s="17">
        <v>0</v>
      </c>
      <c r="X69" s="17">
        <v>0</v>
      </c>
      <c r="Y69" s="17">
        <v>0</v>
      </c>
      <c r="Z69" s="17">
        <v>0</v>
      </c>
      <c r="AA69" s="17">
        <v>0</v>
      </c>
      <c r="AB69" s="17">
        <v>0</v>
      </c>
      <c r="AC69" s="17">
        <v>0</v>
      </c>
      <c r="AD69" s="17">
        <v>3</v>
      </c>
      <c r="AE69" s="17">
        <v>3</v>
      </c>
      <c r="AF69" s="17">
        <v>3</v>
      </c>
      <c r="AG69" s="17">
        <v>24</v>
      </c>
      <c r="AH69" s="17">
        <v>3</v>
      </c>
      <c r="AI69" s="17">
        <v>3</v>
      </c>
      <c r="AJ69" s="17">
        <v>3</v>
      </c>
      <c r="AK69" s="17">
        <v>24</v>
      </c>
      <c r="AL69" s="17">
        <v>3</v>
      </c>
      <c r="AM69" s="17">
        <v>3</v>
      </c>
      <c r="AN69" s="17">
        <v>3</v>
      </c>
      <c r="AO69" s="17">
        <v>18</v>
      </c>
      <c r="AP69" s="17">
        <v>3</v>
      </c>
      <c r="AQ69" s="17">
        <v>3</v>
      </c>
      <c r="AR69" s="17">
        <v>3</v>
      </c>
      <c r="AS69" s="17">
        <v>18</v>
      </c>
      <c r="AT69" s="17">
        <v>21</v>
      </c>
      <c r="AU69" s="17">
        <v>21</v>
      </c>
      <c r="AV69" s="17">
        <v>21</v>
      </c>
      <c r="AW69" s="17">
        <v>21</v>
      </c>
      <c r="AX69" s="17">
        <v>11</v>
      </c>
      <c r="AY69" s="17">
        <v>3</v>
      </c>
      <c r="AZ69" s="17">
        <v>11</v>
      </c>
      <c r="BA69" s="17">
        <v>0</v>
      </c>
      <c r="BB69" s="17">
        <v>4</v>
      </c>
      <c r="BC69" s="17">
        <v>115</v>
      </c>
      <c r="BD69" s="75">
        <v>10</v>
      </c>
      <c r="BE69" s="75">
        <v>10</v>
      </c>
      <c r="BF69" s="75">
        <v>10</v>
      </c>
      <c r="BG69" s="75">
        <v>10</v>
      </c>
      <c r="BH69" s="75">
        <v>10</v>
      </c>
      <c r="BI69" s="17">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BFF8A-396F-1669-67F4-78F9F49237D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c r="AQ1" s="17" t="s">
        <v>14</v>
      </c>
    </row>
    <row r="2" spans="5:43" ht="23.25" hidden="1" customHeight="1">
      <c r="E2" s="1111">
        <v>1</v>
      </c>
      <c r="R2" s="294"/>
      <c r="S2" s="295" t="e">
        <f>INDEX(PT_DIFFERENTIATION_NUM_NTAR,MATCH(A2,PT_DIFFERENTIATION_NTAR_ID,0))</f>
        <v>#N/A</v>
      </c>
      <c r="T2" s="296" t="s">
        <v>126</v>
      </c>
      <c r="U2" s="297"/>
      <c r="V2" s="1106"/>
      <c r="W2" s="1107"/>
      <c r="X2" s="1107"/>
      <c r="Y2" s="1107"/>
      <c r="Z2" s="1107"/>
      <c r="AA2" s="1107"/>
      <c r="AB2" s="1108"/>
      <c r="AC2" s="1106" t="e">
        <f>INDEX(PT_DIFFERENTIATION_NTAR,MATCH(A2,PT_DIFFERENTIATION_NTAR_ID,0))</f>
        <v>#N/A</v>
      </c>
      <c r="AD2" s="1107"/>
      <c r="AE2" s="1107"/>
      <c r="AF2" s="1107"/>
      <c r="AG2" s="1107"/>
      <c r="AH2" s="1107"/>
      <c r="AI2" s="1107"/>
      <c r="AJ2" s="1108"/>
      <c r="AK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7" t="str">
        <f t="shared" ref="AN2:AN13" si="0">IF(T2="","",T2)</f>
        <v>Наименование тарифа</v>
      </c>
      <c r="AQ2" s="17">
        <v>0</v>
      </c>
    </row>
    <row r="3" spans="5:43"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8"/>
      <c r="AC3" s="1106" t="e">
        <f>INDEX(PT_DIFFERENTIATION_TER,MATCH(B3,PT_DIFFERENTIATION_TER_ID,0))</f>
        <v>#N/A</v>
      </c>
      <c r="AD3" s="1107"/>
      <c r="AE3" s="1107"/>
      <c r="AF3" s="1107"/>
      <c r="AG3" s="1107"/>
      <c r="AH3" s="1107"/>
      <c r="AI3" s="1107"/>
      <c r="AJ3" s="1108"/>
      <c r="AK3" s="299" t="s">
        <v>399</v>
      </c>
      <c r="AN3" s="87" t="str">
        <f t="shared" si="0"/>
        <v>Территория действия тарифа</v>
      </c>
      <c r="AQ3" s="17">
        <v>0</v>
      </c>
    </row>
    <row r="4" spans="5:43" ht="23.25" hidden="1" customHeight="1">
      <c r="E4" s="1112"/>
      <c r="F4" s="1112"/>
      <c r="G4" s="1111">
        <v>1</v>
      </c>
      <c r="Q4" s="300"/>
      <c r="R4" s="301"/>
      <c r="S4" s="295" t="e">
        <f>INDEX(PT_DIFFERENTIATION_NUM_CS,MATCH(C4,PT_DIFFERENTIATION_CS_ID,0))</f>
        <v>#N/A</v>
      </c>
      <c r="T4" s="303" t="s">
        <v>517</v>
      </c>
      <c r="U4" s="297"/>
      <c r="V4" s="1106"/>
      <c r="W4" s="1107"/>
      <c r="X4" s="1107"/>
      <c r="Y4" s="1107"/>
      <c r="Z4" s="1107"/>
      <c r="AA4" s="1107"/>
      <c r="AB4" s="1108"/>
      <c r="AC4" s="1106" t="e">
        <f>INDEX(PT_DIFFERENTIATION_CS,MATCH(C4,PT_DIFFERENTIATION_CS_ID,0))</f>
        <v>#N/A</v>
      </c>
      <c r="AD4" s="1107"/>
      <c r="AE4" s="1107"/>
      <c r="AF4" s="1107"/>
      <c r="AG4" s="1107"/>
      <c r="AH4" s="1107"/>
      <c r="AI4" s="1107"/>
      <c r="AJ4" s="1108"/>
      <c r="AK4" s="299" t="s">
        <v>518</v>
      </c>
      <c r="AN4" s="87" t="str">
        <f t="shared" si="0"/>
        <v>Наименование централизованной системы водоотведения</v>
      </c>
      <c r="AQ4" s="17">
        <v>0</v>
      </c>
    </row>
    <row r="5" spans="5:43"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1"/>
      <c r="AC5" s="1182"/>
      <c r="AD5" s="1183"/>
      <c r="AE5" s="1183"/>
      <c r="AF5" s="1183"/>
      <c r="AG5" s="1183"/>
      <c r="AH5" s="1183"/>
      <c r="AI5" s="1183"/>
      <c r="AJ5" s="1184"/>
      <c r="AK5" s="299" t="s">
        <v>485</v>
      </c>
      <c r="AN5" s="87" t="str">
        <f t="shared" si="0"/>
        <v>Наименование признака дифференциации</v>
      </c>
      <c r="AQ5" s="17">
        <v>0</v>
      </c>
    </row>
    <row r="6" spans="5:43"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2"/>
      <c r="AC6" s="1100"/>
      <c r="AD6" s="1101"/>
      <c r="AE6" s="1101"/>
      <c r="AF6" s="1101"/>
      <c r="AG6" s="1101"/>
      <c r="AH6" s="1101"/>
      <c r="AI6" s="1101"/>
      <c r="AJ6" s="1102"/>
      <c r="AK6" s="386" t="s">
        <v>486</v>
      </c>
      <c r="AN6" s="87" t="str">
        <f t="shared" si="0"/>
        <v>Группа потребителей</v>
      </c>
      <c r="AQ6" s="17">
        <v>0</v>
      </c>
    </row>
    <row r="7" spans="5:43" ht="23.25" hidden="1" customHeight="1">
      <c r="E7" s="1112"/>
      <c r="F7" s="1112"/>
      <c r="G7" s="1112"/>
      <c r="H7" s="1112"/>
      <c r="I7" s="1114"/>
      <c r="J7" s="1114"/>
      <c r="K7" s="1113" t="e">
        <f>J6&amp;".1"</f>
        <v>#N/A</v>
      </c>
      <c r="P7" s="964"/>
      <c r="Q7" s="964"/>
      <c r="R7" s="309">
        <v>1</v>
      </c>
      <c r="S7" s="295" t="e">
        <f>$K7</f>
        <v>#N/A</v>
      </c>
      <c r="T7" s="426"/>
      <c r="U7" s="297"/>
      <c r="V7" s="312"/>
      <c r="W7" s="312"/>
      <c r="X7" s="314"/>
      <c r="Y7" s="1116"/>
      <c r="Z7" s="1004" t="s">
        <v>66</v>
      </c>
      <c r="AA7" s="1116"/>
      <c r="AB7" s="1004" t="s">
        <v>66</v>
      </c>
      <c r="AC7" s="312"/>
      <c r="AD7" s="312"/>
      <c r="AE7" s="314"/>
      <c r="AF7" s="1116"/>
      <c r="AG7" s="1004" t="s">
        <v>66</v>
      </c>
      <c r="AH7" s="1118"/>
      <c r="AI7" s="1004" t="s">
        <v>66</v>
      </c>
      <c r="AJ7" s="427"/>
      <c r="AK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 t="e">
        <f ca="1">STRCHECKDATE(V8:AJ8)</f>
        <v>#NAME?</v>
      </c>
      <c r="AN7" s="87" t="str">
        <f t="shared" si="0"/>
        <v/>
      </c>
      <c r="AQ7" s="17">
        <v>0</v>
      </c>
    </row>
    <row r="8" spans="5:43" ht="14.25" hidden="1" customHeight="1">
      <c r="E8" s="1112"/>
      <c r="F8" s="1112"/>
      <c r="G8" s="1112"/>
      <c r="H8" s="1112"/>
      <c r="I8" s="1114"/>
      <c r="J8" s="1114"/>
      <c r="K8" s="1113"/>
      <c r="P8" s="964"/>
      <c r="Q8" s="964"/>
      <c r="R8" s="309"/>
      <c r="S8" s="278"/>
      <c r="T8" s="297"/>
      <c r="U8" s="297"/>
      <c r="V8" s="313"/>
      <c r="W8" s="313"/>
      <c r="X8" s="316" t="str">
        <f>Y7&amp;"-"&amp;AA7</f>
        <v>-</v>
      </c>
      <c r="Y8" s="1117"/>
      <c r="Z8" s="1004"/>
      <c r="AA8" s="1117"/>
      <c r="AB8" s="1004"/>
      <c r="AC8" s="313"/>
      <c r="AD8" s="313"/>
      <c r="AE8" s="316" t="str">
        <f>AF7&amp;"-"&amp;AH7</f>
        <v>-</v>
      </c>
      <c r="AF8" s="1117"/>
      <c r="AG8" s="1004"/>
      <c r="AH8" s="1119"/>
      <c r="AI8" s="1004"/>
      <c r="AJ8" s="428"/>
      <c r="AK8" s="1185"/>
      <c r="AN8" s="87" t="str">
        <f t="shared" si="0"/>
        <v/>
      </c>
      <c r="AQ8" s="17">
        <v>0</v>
      </c>
    </row>
    <row r="9" spans="5:43"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299" t="s">
        <v>488</v>
      </c>
      <c r="AN9" s="87" t="str">
        <f t="shared" si="0"/>
        <v>Добавить значение признака дифференциации</v>
      </c>
      <c r="AQ9" s="17">
        <v>0</v>
      </c>
    </row>
    <row r="10" spans="5:43" ht="21" hidden="1" customHeight="1">
      <c r="E10" s="1112"/>
      <c r="F10" s="1112"/>
      <c r="G10" s="1112"/>
      <c r="H10" s="1112"/>
      <c r="I10" s="1113"/>
      <c r="P10" s="964"/>
      <c r="R10" s="307"/>
      <c r="S10" s="318"/>
      <c r="T10" s="324" t="s">
        <v>413</v>
      </c>
      <c r="U10" s="117"/>
      <c r="V10" s="117"/>
      <c r="W10" s="117"/>
      <c r="X10" s="117"/>
      <c r="Y10" s="117"/>
      <c r="Z10" s="117"/>
      <c r="AA10" s="117"/>
      <c r="AB10" s="322"/>
      <c r="AC10" s="117"/>
      <c r="AD10" s="117"/>
      <c r="AE10" s="117"/>
      <c r="AF10" s="117"/>
      <c r="AG10" s="117"/>
      <c r="AH10" s="117"/>
      <c r="AI10" s="322"/>
      <c r="AJ10" s="117"/>
      <c r="AK10" s="429"/>
      <c r="AN10" s="87" t="str">
        <f t="shared" si="0"/>
        <v>Добавить группу потребителей</v>
      </c>
      <c r="AQ10" s="17">
        <v>0</v>
      </c>
    </row>
    <row r="11" spans="5:43" ht="21" hidden="1" customHeight="1">
      <c r="E11" s="1112"/>
      <c r="F11" s="1112"/>
      <c r="G11" s="1112"/>
      <c r="H11" s="1111"/>
      <c r="R11" s="294"/>
      <c r="S11" s="318"/>
      <c r="T11" s="430" t="s">
        <v>489</v>
      </c>
      <c r="U11" s="117"/>
      <c r="V11" s="117"/>
      <c r="W11" s="117"/>
      <c r="X11" s="117"/>
      <c r="Y11" s="117"/>
      <c r="Z11" s="117"/>
      <c r="AA11" s="117"/>
      <c r="AB11" s="322"/>
      <c r="AC11" s="117"/>
      <c r="AD11" s="117"/>
      <c r="AE11" s="117"/>
      <c r="AF11" s="117"/>
      <c r="AG11" s="117"/>
      <c r="AH11" s="117"/>
      <c r="AI11" s="322"/>
      <c r="AJ11" s="117"/>
      <c r="AK11" s="323"/>
      <c r="AN11" s="87" t="str">
        <f t="shared" si="0"/>
        <v>Добавить наименование признака дифференциации</v>
      </c>
      <c r="AQ11" s="17">
        <v>0</v>
      </c>
    </row>
    <row r="12" spans="5:43" ht="14.25" hidden="1" customHeight="1">
      <c r="E12" s="1112"/>
      <c r="F12" s="1111"/>
      <c r="T12" s="329" t="s">
        <v>416</v>
      </c>
      <c r="AN12" s="87" t="str">
        <f t="shared" si="0"/>
        <v>Добавить централизованную систему для дифференциации</v>
      </c>
      <c r="AQ12" s="75">
        <v>0</v>
      </c>
    </row>
    <row r="13" spans="5:43" ht="14.25" hidden="1" customHeight="1">
      <c r="E13" s="1111"/>
      <c r="T13" s="329" t="s">
        <v>417</v>
      </c>
      <c r="AN13" s="87" t="str">
        <f t="shared" si="0"/>
        <v>Добавить территорию для дифференциации</v>
      </c>
      <c r="AQ13" s="75">
        <v>0</v>
      </c>
    </row>
    <row r="14" spans="5:43" ht="14.25" hidden="1" customHeight="1">
      <c r="AQ14" s="17">
        <v>0</v>
      </c>
    </row>
    <row r="15" spans="5:43" ht="14.25" hidden="1" customHeight="1">
      <c r="AC15" s="330"/>
      <c r="AD15" s="330"/>
      <c r="AE15" s="331"/>
      <c r="AF15" s="1110"/>
      <c r="AG15" s="1109" t="s">
        <v>66</v>
      </c>
      <c r="AH15" s="1110"/>
      <c r="AI15" s="1109" t="s">
        <v>66</v>
      </c>
      <c r="AQ15" s="17">
        <v>0</v>
      </c>
    </row>
    <row r="16" spans="5:43" ht="14.25" hidden="1" customHeight="1">
      <c r="AC16" s="330"/>
      <c r="AD16" s="330"/>
      <c r="AE16" s="316" t="str">
        <f>AF15&amp;"-"&amp;AH15</f>
        <v>-</v>
      </c>
      <c r="AF16" s="1109"/>
      <c r="AG16" s="1109"/>
      <c r="AH16" s="1109"/>
      <c r="AI16" s="1109"/>
      <c r="AQ16" s="17">
        <v>0</v>
      </c>
    </row>
    <row r="17" spans="15:43" ht="14.25" hidden="1" customHeight="1">
      <c r="AQ17" s="17">
        <v>0</v>
      </c>
    </row>
    <row r="18" spans="15:43" ht="22.5" hidden="1" customHeight="1">
      <c r="O18" s="332" t="s">
        <v>418</v>
      </c>
      <c r="Y18" s="332"/>
      <c r="AA18" s="332"/>
      <c r="AF18" s="332"/>
      <c r="AH18" s="332"/>
      <c r="AQ18" s="37">
        <v>0</v>
      </c>
    </row>
    <row r="19" spans="15:43" ht="14.25" hidden="1" customHeight="1">
      <c r="AQ19" s="37">
        <v>0</v>
      </c>
    </row>
    <row r="20" spans="15:43" ht="12" hidden="1" customHeight="1">
      <c r="O20" s="306" t="s">
        <v>419</v>
      </c>
      <c r="T20" s="37" t="s">
        <v>420</v>
      </c>
      <c r="Z20" s="126" t="s">
        <v>421</v>
      </c>
      <c r="AB20" s="126" t="s">
        <v>422</v>
      </c>
      <c r="AC20" s="37" t="s">
        <v>420</v>
      </c>
      <c r="AG20" s="126" t="s">
        <v>423</v>
      </c>
      <c r="AI20" s="126" t="s">
        <v>422</v>
      </c>
      <c r="AQ20" s="37">
        <v>0</v>
      </c>
    </row>
    <row r="21" spans="15:43" ht="14.25" hidden="1" customHeight="1">
      <c r="AQ21" s="17">
        <v>0</v>
      </c>
    </row>
    <row r="22" spans="15:43" ht="14.25" hidden="1" customHeight="1">
      <c r="AQ22" s="17">
        <v>0</v>
      </c>
    </row>
    <row r="23" spans="15:43" ht="14.65" customHeight="1">
      <c r="Q23" s="333"/>
      <c r="R23" s="333"/>
      <c r="S23" s="334"/>
      <c r="T23" s="38"/>
      <c r="U23" s="38"/>
      <c r="AQ23" s="17">
        <v>14</v>
      </c>
    </row>
    <row r="24" spans="15:43" ht="14.65" customHeight="1">
      <c r="Q24" s="333"/>
      <c r="R24" s="333"/>
      <c r="S24" s="10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093"/>
      <c r="U24" s="1093"/>
      <c r="V24" s="1093"/>
      <c r="W24" s="1093"/>
      <c r="X24" s="1093"/>
      <c r="Y24" s="1093"/>
      <c r="Z24" s="1093"/>
      <c r="AA24" s="1093"/>
      <c r="AB24" s="1093"/>
      <c r="AC24" s="1093"/>
      <c r="AD24" s="1093"/>
      <c r="AE24" s="1093"/>
      <c r="AF24" s="1093"/>
      <c r="AG24" s="1093"/>
      <c r="AH24" s="1093"/>
      <c r="AQ24" s="17">
        <v>14</v>
      </c>
    </row>
    <row r="25" spans="15:43"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Q25" s="17">
        <v>14</v>
      </c>
    </row>
    <row r="26" spans="15:43" ht="14.25" hidden="1" customHeight="1">
      <c r="Q26" s="333"/>
      <c r="R26" s="333"/>
      <c r="S26" s="334"/>
      <c r="T26" s="38"/>
      <c r="U26" s="38"/>
      <c r="V26" s="335"/>
      <c r="W26" s="335"/>
      <c r="X26" s="335"/>
      <c r="Y26" s="335"/>
      <c r="Z26" s="335"/>
      <c r="AA26" s="335"/>
      <c r="AB26" s="335"/>
      <c r="AC26" s="335"/>
      <c r="AD26" s="335"/>
      <c r="AE26" s="335"/>
      <c r="AF26" s="335"/>
      <c r="AG26" s="335"/>
      <c r="AH26" s="335"/>
      <c r="AI26" s="335"/>
      <c r="AQ26" s="17">
        <v>0</v>
      </c>
    </row>
    <row r="27" spans="15:43" ht="25.5" hidden="1" customHeight="1">
      <c r="S27" s="1103" t="s">
        <v>42</v>
      </c>
      <c r="T27" s="1103"/>
      <c r="U27" s="337"/>
      <c r="V27" s="1105" t="str">
        <f>IF(TITLE_NAME_OR_PR_CHANGE="",IF(TITLE_NAME_OR_PR="","",TITLE_NAME_OR_PR),TITLE_NAME_OR_PR_CHANGE)</f>
        <v/>
      </c>
      <c r="W27" s="1105"/>
      <c r="X27" s="1105"/>
      <c r="Y27" s="1105"/>
      <c r="Z27" s="1105"/>
      <c r="AA27" s="1105"/>
      <c r="AC27" s="1105" t="str">
        <f>IF(TITLE_NAME_OR_PR_CHANGE="",IF(TITLE_NAME_OR_PR="","",TITLE_NAME_OR_PR),TITLE_NAME_OR_PR_CHANGE)</f>
        <v/>
      </c>
      <c r="AD27" s="1105"/>
      <c r="AE27" s="1105"/>
      <c r="AF27" s="1105"/>
      <c r="AG27" s="1105"/>
      <c r="AH27" s="1105"/>
      <c r="AQ27" s="111">
        <v>0</v>
      </c>
    </row>
    <row r="28" spans="15:43" ht="18.75" hidden="1" customHeight="1">
      <c r="S28" s="1103" t="s">
        <v>424</v>
      </c>
      <c r="T28" s="1103"/>
      <c r="U28" s="337"/>
      <c r="V28" s="1104" t="str">
        <f>IF(TITLE_DATE_PR_CHANGE="",IF(TITLE_DATE_PR="","",TITLE_DATE_PR),TITLE_DATE_PR_CHANGE)</f>
        <v/>
      </c>
      <c r="W28" s="1104"/>
      <c r="X28" s="1104"/>
      <c r="Y28" s="1104"/>
      <c r="Z28" s="1104"/>
      <c r="AA28" s="1104"/>
      <c r="AC28" s="1104" t="str">
        <f>IF(TITLE_DATE_PR_CHANGE="",IF(TITLE_DATE_PR="","",TITLE_DATE_PR),TITLE_DATE_PR_CHANGE)</f>
        <v/>
      </c>
      <c r="AD28" s="1104"/>
      <c r="AE28" s="1104"/>
      <c r="AF28" s="1104"/>
      <c r="AG28" s="1104"/>
      <c r="AH28" s="1104"/>
      <c r="AQ28" s="111">
        <v>0</v>
      </c>
    </row>
    <row r="29" spans="15:43" ht="18.75" hidden="1" customHeight="1">
      <c r="S29" s="1103" t="s">
        <v>425</v>
      </c>
      <c r="T29" s="1103"/>
      <c r="U29" s="337"/>
      <c r="V29" s="1105" t="str">
        <f>IF(TITLE_NUMBER_PR_CHANGE="",IF(TITLE_NUMBER_PR="","",TITLE_NUMBER_PR),TITLE_NUMBER_PR_CHANGE)</f>
        <v/>
      </c>
      <c r="W29" s="1105"/>
      <c r="X29" s="1105"/>
      <c r="Y29" s="1105"/>
      <c r="Z29" s="1105"/>
      <c r="AA29" s="1105"/>
      <c r="AC29" s="1105" t="str">
        <f>IF(TITLE_NUMBER_PR_CHANGE="",IF(TITLE_NUMBER_PR="","",TITLE_NUMBER_PR),TITLE_NUMBER_PR_CHANGE)</f>
        <v/>
      </c>
      <c r="AD29" s="1105"/>
      <c r="AE29" s="1105"/>
      <c r="AF29" s="1105"/>
      <c r="AG29" s="1105"/>
      <c r="AH29" s="1105"/>
      <c r="AQ29" s="111">
        <v>0</v>
      </c>
    </row>
    <row r="30" spans="15:43" ht="18.75" hidden="1" customHeight="1">
      <c r="S30" s="1103" t="s">
        <v>43</v>
      </c>
      <c r="T30" s="1103"/>
      <c r="U30" s="337"/>
      <c r="V30" s="1105" t="str">
        <f>IF(TITLE_IST_PUB_CHANGE="",IF(TITLE_IST_PUB="","",TITLE_IST_PUB),TITLE_IST_PUB_CHANGE)</f>
        <v/>
      </c>
      <c r="W30" s="1105"/>
      <c r="X30" s="1105"/>
      <c r="Y30" s="1105"/>
      <c r="Z30" s="1105"/>
      <c r="AA30" s="1105"/>
      <c r="AC30" s="1105" t="str">
        <f>IF(TITLE_IST_PUB_CHANGE="",IF(TITLE_IST_PUB="","",TITLE_IST_PUB),TITLE_IST_PUB_CHANGE)</f>
        <v/>
      </c>
      <c r="AD30" s="1105"/>
      <c r="AE30" s="1105"/>
      <c r="AF30" s="1105"/>
      <c r="AG30" s="1105"/>
      <c r="AH30" s="1105"/>
      <c r="AQ30" s="111">
        <v>0</v>
      </c>
    </row>
    <row r="31" spans="15:43" ht="14.25" hidden="1" customHeight="1">
      <c r="Q31" s="333"/>
      <c r="R31" s="333"/>
      <c r="S31" s="334"/>
      <c r="T31" s="38"/>
      <c r="U31" s="38"/>
      <c r="V31" s="335"/>
      <c r="W31" s="335"/>
      <c r="X31" s="335"/>
      <c r="Y31" s="335"/>
      <c r="Z31" s="335"/>
      <c r="AA31" s="335"/>
      <c r="AB31" s="335"/>
      <c r="AC31" s="335"/>
      <c r="AD31" s="335"/>
      <c r="AE31" s="335"/>
      <c r="AF31" s="335"/>
      <c r="AG31" s="335"/>
      <c r="AH31" s="335"/>
      <c r="AI31" s="335"/>
      <c r="AQ31" s="17">
        <v>0</v>
      </c>
    </row>
    <row r="32" spans="15:43" ht="18.75" hidden="1" customHeight="1">
      <c r="S32" s="1103" t="s">
        <v>426</v>
      </c>
      <c r="T32" s="1103"/>
      <c r="U32" s="337"/>
      <c r="V32" s="1104" t="str">
        <f>IF(TITLE_DATE_PR_CHANGE="",IF(TITLE_DATE_PR="","",TITLE_DATE_PR),TITLE_DATE_PR_CHANGE)</f>
        <v/>
      </c>
      <c r="W32" s="1104"/>
      <c r="X32" s="1104"/>
      <c r="Y32" s="1104"/>
      <c r="Z32" s="1104"/>
      <c r="AA32" s="1104"/>
      <c r="AC32" s="1104" t="str">
        <f>IF(TITLE_DATE_PR_CHANGE="",IF(TITLE_DATE_PR="","",TITLE_DATE_PR),TITLE_DATE_PR_CHANGE)</f>
        <v/>
      </c>
      <c r="AD32" s="1104"/>
      <c r="AE32" s="1104"/>
      <c r="AF32" s="1104"/>
      <c r="AG32" s="1104"/>
      <c r="AH32" s="1104"/>
      <c r="AQ32" s="111">
        <v>0</v>
      </c>
    </row>
    <row r="33" spans="1:43" ht="18.75" hidden="1" customHeight="1">
      <c r="S33" s="1103" t="s">
        <v>427</v>
      </c>
      <c r="T33" s="1103"/>
      <c r="U33" s="337"/>
      <c r="V33" s="1105" t="str">
        <f>IF(TITLE_NUMBER_PR_CHANGE="",IF(TITLE_NUMBER_PR="","",TITLE_NUMBER_PR),TITLE_NUMBER_PR_CHANGE)</f>
        <v/>
      </c>
      <c r="W33" s="1105"/>
      <c r="X33" s="1105"/>
      <c r="Y33" s="1105"/>
      <c r="Z33" s="1105"/>
      <c r="AA33" s="1105"/>
      <c r="AC33" s="1105" t="str">
        <f>IF(TITLE_NUMBER_PR_CHANGE="",IF(TITLE_NUMBER_PR="","",TITLE_NUMBER_PR),TITLE_NUMBER_PR_CHANGE)</f>
        <v/>
      </c>
      <c r="AD33" s="1105"/>
      <c r="AE33" s="1105"/>
      <c r="AF33" s="1105"/>
      <c r="AG33" s="1105"/>
      <c r="AH33" s="1105"/>
      <c r="AQ33" s="111">
        <v>0</v>
      </c>
    </row>
    <row r="34" spans="1:43" ht="1.1499999999999999" customHeight="1">
      <c r="AB34" s="75" t="s">
        <v>428</v>
      </c>
      <c r="AI34" s="75" t="s">
        <v>428</v>
      </c>
      <c r="AQ34" s="111">
        <v>1</v>
      </c>
    </row>
    <row r="35" spans="1:43" ht="14.65" customHeight="1">
      <c r="Q35" s="333"/>
      <c r="R35" s="333"/>
      <c r="S35" s="334"/>
      <c r="T35" s="38"/>
      <c r="U35" s="339"/>
      <c r="V35" s="1123"/>
      <c r="W35" s="1123"/>
      <c r="X35" s="1123"/>
      <c r="Y35" s="1123"/>
      <c r="Z35" s="1123"/>
      <c r="AA35" s="1123"/>
      <c r="AB35" s="1123"/>
      <c r="AC35" s="1123"/>
      <c r="AD35" s="1123"/>
      <c r="AE35" s="1123"/>
      <c r="AF35" s="1123"/>
      <c r="AG35" s="1123"/>
      <c r="AH35" s="1123"/>
      <c r="AI35" s="1123"/>
      <c r="AQ35" s="17">
        <v>14</v>
      </c>
    </row>
    <row r="36" spans="1:43"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t="s">
        <v>302</v>
      </c>
      <c r="AQ36" s="17">
        <v>14</v>
      </c>
    </row>
    <row r="37" spans="1:43" ht="14.65" customHeight="1">
      <c r="Q37" s="333"/>
      <c r="R37" s="333"/>
      <c r="S37" s="1124" t="s">
        <v>88</v>
      </c>
      <c r="T37" s="1073" t="s">
        <v>429</v>
      </c>
      <c r="U37" s="341"/>
      <c r="V37" s="1125" t="s">
        <v>430</v>
      </c>
      <c r="W37" s="1126"/>
      <c r="X37" s="1126"/>
      <c r="Y37" s="1126"/>
      <c r="Z37" s="1126"/>
      <c r="AA37" s="1127"/>
      <c r="AB37" s="1128" t="s">
        <v>431</v>
      </c>
      <c r="AC37" s="1125" t="s">
        <v>430</v>
      </c>
      <c r="AD37" s="1126"/>
      <c r="AE37" s="1126"/>
      <c r="AF37" s="1126"/>
      <c r="AG37" s="1126"/>
      <c r="AH37" s="1127"/>
      <c r="AI37" s="1128" t="s">
        <v>432</v>
      </c>
      <c r="AJ37" s="1131" t="s">
        <v>433</v>
      </c>
      <c r="AK37" s="995"/>
      <c r="AQ37" s="17">
        <v>14</v>
      </c>
    </row>
    <row r="38" spans="1:43" ht="35.65" customHeight="1">
      <c r="Q38" s="333"/>
      <c r="R38" s="333"/>
      <c r="S38" s="1124"/>
      <c r="T38" s="1073"/>
      <c r="U38" s="343"/>
      <c r="V38" s="161" t="s">
        <v>490</v>
      </c>
      <c r="W38" s="977" t="s">
        <v>436</v>
      </c>
      <c r="X38" s="976"/>
      <c r="Y38" s="977" t="s">
        <v>437</v>
      </c>
      <c r="Z38" s="982"/>
      <c r="AA38" s="976"/>
      <c r="AB38" s="1129"/>
      <c r="AC38" s="161" t="s">
        <v>490</v>
      </c>
      <c r="AD38" s="977" t="s">
        <v>436</v>
      </c>
      <c r="AE38" s="976"/>
      <c r="AF38" s="977" t="s">
        <v>437</v>
      </c>
      <c r="AG38" s="982"/>
      <c r="AH38" s="976"/>
      <c r="AI38" s="1129"/>
      <c r="AJ38" s="1132"/>
      <c r="AK38" s="995"/>
      <c r="AQ38" s="17">
        <v>34</v>
      </c>
    </row>
    <row r="39" spans="1:43" ht="90.4" customHeight="1">
      <c r="B39" s="126" t="s">
        <v>138</v>
      </c>
      <c r="C39" s="126" t="s">
        <v>139</v>
      </c>
      <c r="D39" s="126" t="s">
        <v>140</v>
      </c>
      <c r="E39" s="306" t="s">
        <v>438</v>
      </c>
      <c r="F39" s="306" t="s">
        <v>439</v>
      </c>
      <c r="G39" s="306" t="s">
        <v>440</v>
      </c>
      <c r="I39" s="306" t="s">
        <v>491</v>
      </c>
      <c r="J39" s="306" t="s">
        <v>443</v>
      </c>
      <c r="K39" s="306" t="s">
        <v>492</v>
      </c>
      <c r="L39" s="306" t="s">
        <v>419</v>
      </c>
      <c r="Q39" s="333"/>
      <c r="R39" s="333"/>
      <c r="S39" s="1124"/>
      <c r="T39" s="1073"/>
      <c r="U39" s="344"/>
      <c r="V39" s="161" t="s">
        <v>519</v>
      </c>
      <c r="W39" s="134" t="s">
        <v>520</v>
      </c>
      <c r="X39" s="134" t="s">
        <v>495</v>
      </c>
      <c r="Y39" s="134" t="s">
        <v>447</v>
      </c>
      <c r="Z39" s="1078" t="s">
        <v>448</v>
      </c>
      <c r="AA39" s="1092"/>
      <c r="AB39" s="1130"/>
      <c r="AC39" s="161" t="s">
        <v>519</v>
      </c>
      <c r="AD39" s="134" t="s">
        <v>520</v>
      </c>
      <c r="AE39" s="134" t="s">
        <v>495</v>
      </c>
      <c r="AF39" s="134" t="s">
        <v>447</v>
      </c>
      <c r="AG39" s="1078" t="s">
        <v>448</v>
      </c>
      <c r="AH39" s="1092"/>
      <c r="AI39" s="1130"/>
      <c r="AJ39" s="1133"/>
      <c r="AK39" s="995"/>
      <c r="AQ39" s="17">
        <v>86</v>
      </c>
    </row>
    <row r="40" spans="1:43" ht="11.25" hidden="1" customHeight="1">
      <c r="Q40" s="347"/>
      <c r="R40" s="348">
        <v>1</v>
      </c>
      <c r="S40" s="349" t="s">
        <v>110</v>
      </c>
      <c r="T40" s="350" t="s">
        <v>111</v>
      </c>
      <c r="U40" s="351" t="str">
        <f ca="1">OFFSET(U40,0,-1)</f>
        <v>2</v>
      </c>
      <c r="V40" s="352">
        <f ca="1">OFFSET(V40,0,-1)+1</f>
        <v>3</v>
      </c>
      <c r="W40" s="352">
        <f ca="1">OFFSET(W40,0,-1)+1</f>
        <v>4</v>
      </c>
      <c r="X40" s="352">
        <f ca="1">OFFSET(X40,0,-1)+1</f>
        <v>5</v>
      </c>
      <c r="Y40" s="352">
        <f ca="1">OFFSET(Y40,0,-1)+1</f>
        <v>6</v>
      </c>
      <c r="Z40" s="1122">
        <f ca="1">OFFSET(Z40,0,-1)+1</f>
        <v>7</v>
      </c>
      <c r="AA40" s="1122"/>
      <c r="AB40" s="352">
        <f ca="1">OFFSET(AB40,0,-2)+1</f>
        <v>8</v>
      </c>
      <c r="AC40" s="352">
        <f ca="1">OFFSET(AC40,0,-1)+1</f>
        <v>9</v>
      </c>
      <c r="AD40" s="352">
        <f ca="1">OFFSET(AD40,0,-1)+1</f>
        <v>10</v>
      </c>
      <c r="AE40" s="352">
        <f ca="1">OFFSET(AE40,0,-1)+1</f>
        <v>11</v>
      </c>
      <c r="AF40" s="352">
        <f ca="1">OFFSET(AF40,0,-1)+1</f>
        <v>12</v>
      </c>
      <c r="AG40" s="1122">
        <f ca="1">OFFSET(AG40,0,-1)+1</f>
        <v>13</v>
      </c>
      <c r="AH40" s="1122"/>
      <c r="AI40" s="352">
        <f ca="1">OFFSET(AI40,0,-2)+1</f>
        <v>14</v>
      </c>
      <c r="AJ40" s="351">
        <f ca="1">OFFSET(AJ40,0,-1)</f>
        <v>14</v>
      </c>
      <c r="AK40" s="352">
        <f ca="1">OFFSET(AK40,0,-1)+1</f>
        <v>15</v>
      </c>
      <c r="AQ40" s="258">
        <v>0</v>
      </c>
    </row>
    <row r="41" spans="1:43" ht="24" customHeight="1">
      <c r="A41" s="353" t="s">
        <v>267</v>
      </c>
      <c r="E41" s="1111">
        <v>1</v>
      </c>
      <c r="R41" s="294"/>
      <c r="S41" s="295">
        <f>INDEX(PT_DIFFERENTIATION_NUM_NTAR,MATCH(A41,PT_DIFFERENTIATION_NTAR_ID,0))</f>
        <v>0</v>
      </c>
      <c r="T41" s="296" t="s">
        <v>126</v>
      </c>
      <c r="U41" s="297"/>
      <c r="V41" s="1106"/>
      <c r="W41" s="1107"/>
      <c r="X41" s="1107"/>
      <c r="Y41" s="1107"/>
      <c r="Z41" s="1107"/>
      <c r="AA41" s="1107"/>
      <c r="AB41" s="1108"/>
      <c r="AC41" s="1106" t="str">
        <f>INDEX(PT_DIFFERENTIATION_NTAR,MATCH(A41,PT_DIFFERENTIATION_NTAR_ID,0))</f>
        <v/>
      </c>
      <c r="AD41" s="1107"/>
      <c r="AE41" s="1107"/>
      <c r="AF41" s="1107"/>
      <c r="AG41" s="1107"/>
      <c r="AH41" s="1107"/>
      <c r="AI41" s="1107"/>
      <c r="AJ41" s="1108"/>
      <c r="AK41"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7" t="str">
        <f t="shared" ref="AN41:AN53" si="1">IF(T41="","",T41)</f>
        <v>Наименование тарифа</v>
      </c>
      <c r="AQ41" s="17">
        <v>23</v>
      </c>
    </row>
    <row r="42" spans="1:43" ht="24" customHeight="1">
      <c r="A42" s="353" t="s">
        <v>267</v>
      </c>
      <c r="B42" s="353" t="s">
        <v>268</v>
      </c>
      <c r="E42" s="1112"/>
      <c r="F42" s="1111">
        <v>1</v>
      </c>
      <c r="Q42" s="300"/>
      <c r="R42" s="301"/>
      <c r="S42" s="295" t="str">
        <f>INDEX(PT_DIFFERENTIATION_NUM_TER,MATCH(B42,PT_DIFFERENTIATION_TER_ID,0))</f>
        <v>.</v>
      </c>
      <c r="T42" s="302" t="s">
        <v>398</v>
      </c>
      <c r="U42" s="297"/>
      <c r="V42" s="1106"/>
      <c r="W42" s="1107"/>
      <c r="X42" s="1107"/>
      <c r="Y42" s="1107"/>
      <c r="Z42" s="1107"/>
      <c r="AA42" s="1107"/>
      <c r="AB42" s="1108"/>
      <c r="AC42" s="1106" t="str">
        <f>INDEX(PT_DIFFERENTIATION_TER,MATCH(B42,PT_DIFFERENTIATION_TER_ID,0))</f>
        <v/>
      </c>
      <c r="AD42" s="1107"/>
      <c r="AE42" s="1107"/>
      <c r="AF42" s="1107"/>
      <c r="AG42" s="1107"/>
      <c r="AH42" s="1107"/>
      <c r="AI42" s="1107"/>
      <c r="AJ42" s="1108"/>
      <c r="AK42" s="299" t="s">
        <v>399</v>
      </c>
      <c r="AN42" s="87" t="str">
        <f t="shared" si="1"/>
        <v>Территория действия тарифа</v>
      </c>
      <c r="AQ42" s="17">
        <v>23</v>
      </c>
    </row>
    <row r="43" spans="1:43" ht="24" customHeight="1">
      <c r="A43" s="353" t="s">
        <v>267</v>
      </c>
      <c r="B43" s="353" t="s">
        <v>268</v>
      </c>
      <c r="C43" s="353" t="s">
        <v>269</v>
      </c>
      <c r="E43" s="1112"/>
      <c r="F43" s="1112"/>
      <c r="G43" s="1111">
        <v>1</v>
      </c>
      <c r="Q43" s="300"/>
      <c r="R43" s="301"/>
      <c r="S43" s="295" t="str">
        <f>INDEX(PT_DIFFERENTIATION_NUM_CS,MATCH(C43,PT_DIFFERENTIATION_CS_ID,0))</f>
        <v>..</v>
      </c>
      <c r="T43" s="303" t="s">
        <v>517</v>
      </c>
      <c r="U43" s="297"/>
      <c r="V43" s="1106"/>
      <c r="W43" s="1107"/>
      <c r="X43" s="1107"/>
      <c r="Y43" s="1107"/>
      <c r="Z43" s="1107"/>
      <c r="AA43" s="1107"/>
      <c r="AB43" s="1108"/>
      <c r="AC43" s="1106" t="str">
        <f>INDEX(PT_DIFFERENTIATION_CS,MATCH(C43,PT_DIFFERENTIATION_CS_ID,0))</f>
        <v/>
      </c>
      <c r="AD43" s="1107"/>
      <c r="AE43" s="1107"/>
      <c r="AF43" s="1107"/>
      <c r="AG43" s="1107"/>
      <c r="AH43" s="1107"/>
      <c r="AI43" s="1107"/>
      <c r="AJ43" s="1108"/>
      <c r="AK43" s="299" t="s">
        <v>518</v>
      </c>
      <c r="AN43" s="87" t="str">
        <f t="shared" si="1"/>
        <v>Наименование централизованной системы водоотведения</v>
      </c>
      <c r="AQ43" s="17">
        <v>23</v>
      </c>
    </row>
    <row r="44" spans="1:43" ht="24" customHeight="1">
      <c r="A44" s="353" t="s">
        <v>267</v>
      </c>
      <c r="B44" s="353" t="s">
        <v>268</v>
      </c>
      <c r="C44" s="353" t="s">
        <v>269</v>
      </c>
      <c r="D44" s="353" t="s">
        <v>521</v>
      </c>
      <c r="E44" s="1112"/>
      <c r="F44" s="1112"/>
      <c r="G44" s="1112"/>
      <c r="H44" s="1112"/>
      <c r="I44" s="1113" t="str">
        <f>S43&amp;".1"</f>
        <v>...1</v>
      </c>
      <c r="P44" s="1115">
        <v>1</v>
      </c>
      <c r="R44" s="307"/>
      <c r="S44" s="295" t="str">
        <f>$I44</f>
        <v>...1</v>
      </c>
      <c r="T44" s="308" t="s">
        <v>484</v>
      </c>
      <c r="U44" s="297"/>
      <c r="V44" s="1179"/>
      <c r="W44" s="1180"/>
      <c r="X44" s="1180"/>
      <c r="Y44" s="1180"/>
      <c r="Z44" s="1180"/>
      <c r="AA44" s="1180"/>
      <c r="AB44" s="1181"/>
      <c r="AC44" s="1182"/>
      <c r="AD44" s="1183"/>
      <c r="AE44" s="1183"/>
      <c r="AF44" s="1183"/>
      <c r="AG44" s="1183"/>
      <c r="AH44" s="1183"/>
      <c r="AI44" s="1183"/>
      <c r="AJ44" s="1184"/>
      <c r="AK44" s="299" t="s">
        <v>485</v>
      </c>
      <c r="AN44" s="87" t="str">
        <f t="shared" si="1"/>
        <v>Наименование признака дифференциации</v>
      </c>
      <c r="AQ44" s="17">
        <v>23</v>
      </c>
    </row>
    <row r="45" spans="1:43" ht="24" customHeight="1">
      <c r="A45" s="353" t="s">
        <v>267</v>
      </c>
      <c r="B45" s="353" t="s">
        <v>268</v>
      </c>
      <c r="C45" s="353" t="s">
        <v>269</v>
      </c>
      <c r="D45" s="353" t="s">
        <v>521</v>
      </c>
      <c r="E45" s="1112"/>
      <c r="F45" s="1112"/>
      <c r="G45" s="1112"/>
      <c r="H45" s="1112"/>
      <c r="I45" s="1114"/>
      <c r="J45" s="1113" t="str">
        <f>I44&amp;".1"</f>
        <v>...1.1</v>
      </c>
      <c r="L45" s="306" t="s">
        <v>407</v>
      </c>
      <c r="P45" s="964"/>
      <c r="Q45" s="1115">
        <v>1</v>
      </c>
      <c r="R45" s="309"/>
      <c r="S45" s="295" t="str">
        <f>$J45</f>
        <v>...1.1</v>
      </c>
      <c r="T45" s="310" t="s">
        <v>408</v>
      </c>
      <c r="U45" s="297"/>
      <c r="V45" s="1100"/>
      <c r="W45" s="1101"/>
      <c r="X45" s="1101"/>
      <c r="Y45" s="1101"/>
      <c r="Z45" s="1101"/>
      <c r="AA45" s="1101"/>
      <c r="AB45" s="1102"/>
      <c r="AC45" s="1100"/>
      <c r="AD45" s="1101"/>
      <c r="AE45" s="1101"/>
      <c r="AF45" s="1101"/>
      <c r="AG45" s="1101"/>
      <c r="AH45" s="1101"/>
      <c r="AI45" s="1101"/>
      <c r="AJ45" s="1102"/>
      <c r="AK45" s="386" t="s">
        <v>486</v>
      </c>
      <c r="AN45" s="87" t="str">
        <f t="shared" si="1"/>
        <v>Группа потребителей</v>
      </c>
      <c r="AQ45" s="17">
        <v>23</v>
      </c>
    </row>
    <row r="46" spans="1:43" ht="24" customHeight="1">
      <c r="A46" s="353" t="s">
        <v>267</v>
      </c>
      <c r="B46" s="353" t="s">
        <v>268</v>
      </c>
      <c r="C46" s="353" t="s">
        <v>269</v>
      </c>
      <c r="D46" s="353" t="s">
        <v>521</v>
      </c>
      <c r="E46" s="1112"/>
      <c r="F46" s="1112"/>
      <c r="G46" s="1112"/>
      <c r="H46" s="1112"/>
      <c r="I46" s="1114"/>
      <c r="J46" s="1114"/>
      <c r="K46" s="1113" t="str">
        <f>J45&amp;".1"</f>
        <v>...1.1.1</v>
      </c>
      <c r="P46" s="964"/>
      <c r="Q46" s="964"/>
      <c r="R46" s="309">
        <v>1</v>
      </c>
      <c r="S46" s="295" t="str">
        <f>$K46</f>
        <v>...1.1.1</v>
      </c>
      <c r="T46" s="426"/>
      <c r="U46" s="297"/>
      <c r="V46" s="330"/>
      <c r="W46" s="330"/>
      <c r="X46" s="331"/>
      <c r="Y46" s="1110"/>
      <c r="Z46" s="1109" t="s">
        <v>66</v>
      </c>
      <c r="AA46" s="1110"/>
      <c r="AB46" s="1109" t="s">
        <v>66</v>
      </c>
      <c r="AC46" s="312"/>
      <c r="AD46" s="312"/>
      <c r="AE46" s="314"/>
      <c r="AF46" s="1116"/>
      <c r="AG46" s="1004" t="s">
        <v>66</v>
      </c>
      <c r="AH46" s="1118"/>
      <c r="AI46" s="1004" t="s">
        <v>19</v>
      </c>
      <c r="AJ46" s="427"/>
      <c r="AK46"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 t="e">
        <f ca="1">STRCHECKDATE(V47:AJ47)</f>
        <v>#NAME?</v>
      </c>
      <c r="AN46" s="87" t="str">
        <f t="shared" si="1"/>
        <v/>
      </c>
      <c r="AQ46" s="17">
        <v>23</v>
      </c>
    </row>
    <row r="47" spans="1:43" ht="0" hidden="1" customHeight="1">
      <c r="A47" s="353" t="s">
        <v>267</v>
      </c>
      <c r="B47" s="353" t="s">
        <v>268</v>
      </c>
      <c r="C47" s="353" t="s">
        <v>269</v>
      </c>
      <c r="D47" s="353" t="s">
        <v>521</v>
      </c>
      <c r="E47" s="1112"/>
      <c r="F47" s="1112"/>
      <c r="G47" s="1112"/>
      <c r="H47" s="1112"/>
      <c r="I47" s="1114"/>
      <c r="J47" s="1114"/>
      <c r="K47" s="1113"/>
      <c r="P47" s="964"/>
      <c r="Q47" s="964"/>
      <c r="R47" s="309"/>
      <c r="S47" s="278"/>
      <c r="T47" s="297"/>
      <c r="U47" s="297"/>
      <c r="V47" s="330"/>
      <c r="W47" s="330"/>
      <c r="X47" s="316" t="str">
        <f>Y46&amp;"-"&amp;AA46</f>
        <v>-</v>
      </c>
      <c r="Y47" s="1109"/>
      <c r="Z47" s="1109"/>
      <c r="AA47" s="1109"/>
      <c r="AB47" s="1109"/>
      <c r="AC47" s="313"/>
      <c r="AD47" s="313"/>
      <c r="AE47" s="316" t="str">
        <f>AF46&amp;"-"&amp;AH46</f>
        <v>-</v>
      </c>
      <c r="AF47" s="1117"/>
      <c r="AG47" s="1004"/>
      <c r="AH47" s="1119"/>
      <c r="AI47" s="1004"/>
      <c r="AJ47" s="428"/>
      <c r="AK47" s="1185"/>
      <c r="AN47" s="87" t="str">
        <f t="shared" si="1"/>
        <v/>
      </c>
      <c r="AQ47" s="17">
        <v>0</v>
      </c>
    </row>
    <row r="48" spans="1:43" ht="21" customHeight="1">
      <c r="A48" s="353" t="s">
        <v>267</v>
      </c>
      <c r="B48" s="353" t="s">
        <v>268</v>
      </c>
      <c r="C48" s="353" t="s">
        <v>269</v>
      </c>
      <c r="D48" s="353" t="s">
        <v>521</v>
      </c>
      <c r="E48" s="1112"/>
      <c r="F48" s="1112"/>
      <c r="G48" s="1112"/>
      <c r="H48" s="1112"/>
      <c r="I48" s="1114"/>
      <c r="J48" s="1113"/>
      <c r="P48" s="964"/>
      <c r="Q48" s="964"/>
      <c r="R48" s="307"/>
      <c r="S48" s="318"/>
      <c r="T48" s="321" t="s">
        <v>487</v>
      </c>
      <c r="U48" s="117"/>
      <c r="V48" s="117"/>
      <c r="W48" s="117"/>
      <c r="X48" s="117"/>
      <c r="Y48" s="117"/>
      <c r="Z48" s="117"/>
      <c r="AA48" s="117"/>
      <c r="AB48" s="117"/>
      <c r="AC48" s="117"/>
      <c r="AD48" s="117"/>
      <c r="AE48" s="117"/>
      <c r="AF48" s="117"/>
      <c r="AG48" s="117"/>
      <c r="AH48" s="117"/>
      <c r="AI48" s="117"/>
      <c r="AJ48" s="117"/>
      <c r="AK48" s="299" t="s">
        <v>488</v>
      </c>
      <c r="AN48" s="87" t="str">
        <f t="shared" si="1"/>
        <v>Добавить значение признака дифференциации</v>
      </c>
      <c r="AQ48" s="17">
        <v>20</v>
      </c>
    </row>
    <row r="49" spans="1:43" ht="21.95" customHeight="1">
      <c r="A49" s="353" t="s">
        <v>267</v>
      </c>
      <c r="B49" s="353" t="s">
        <v>268</v>
      </c>
      <c r="C49" s="353" t="s">
        <v>269</v>
      </c>
      <c r="D49" s="353" t="s">
        <v>521</v>
      </c>
      <c r="E49" s="1112"/>
      <c r="F49" s="1112"/>
      <c r="G49" s="1112"/>
      <c r="H49" s="1112"/>
      <c r="I49" s="1113"/>
      <c r="P49" s="964"/>
      <c r="R49" s="307"/>
      <c r="S49" s="318"/>
      <c r="T49" s="324" t="s">
        <v>413</v>
      </c>
      <c r="U49" s="117"/>
      <c r="V49" s="117"/>
      <c r="W49" s="117"/>
      <c r="X49" s="117"/>
      <c r="Y49" s="117"/>
      <c r="Z49" s="117"/>
      <c r="AA49" s="117"/>
      <c r="AB49" s="322"/>
      <c r="AC49" s="117"/>
      <c r="AD49" s="117"/>
      <c r="AE49" s="117"/>
      <c r="AF49" s="117"/>
      <c r="AG49" s="117"/>
      <c r="AH49" s="117"/>
      <c r="AI49" s="322"/>
      <c r="AJ49" s="117"/>
      <c r="AK49" s="429"/>
      <c r="AN49" s="87" t="str">
        <f t="shared" si="1"/>
        <v>Добавить группу потребителей</v>
      </c>
      <c r="AQ49" s="17">
        <v>21</v>
      </c>
    </row>
    <row r="50" spans="1:43" ht="21.95" customHeight="1">
      <c r="A50" s="353" t="s">
        <v>267</v>
      </c>
      <c r="B50" s="353" t="s">
        <v>268</v>
      </c>
      <c r="C50" s="353" t="s">
        <v>269</v>
      </c>
      <c r="D50" s="353" t="s">
        <v>521</v>
      </c>
      <c r="E50" s="1112"/>
      <c r="F50" s="1112"/>
      <c r="G50" s="1112"/>
      <c r="H50" s="1111"/>
      <c r="R50" s="294"/>
      <c r="S50" s="318"/>
      <c r="T50" s="430" t="s">
        <v>489</v>
      </c>
      <c r="U50" s="117"/>
      <c r="V50" s="117"/>
      <c r="W50" s="117"/>
      <c r="X50" s="117"/>
      <c r="Y50" s="117"/>
      <c r="Z50" s="117"/>
      <c r="AA50" s="117"/>
      <c r="AB50" s="322"/>
      <c r="AC50" s="117"/>
      <c r="AD50" s="117"/>
      <c r="AE50" s="117"/>
      <c r="AF50" s="117"/>
      <c r="AG50" s="117"/>
      <c r="AH50" s="117"/>
      <c r="AI50" s="322"/>
      <c r="AJ50" s="117"/>
      <c r="AK50" s="323"/>
      <c r="AN50" s="87" t="str">
        <f t="shared" si="1"/>
        <v>Добавить наименование признака дифференциации</v>
      </c>
      <c r="AQ50" s="17">
        <v>21</v>
      </c>
    </row>
    <row r="51" spans="1:43" ht="0" hidden="1" customHeight="1">
      <c r="A51" s="72" t="s">
        <v>267</v>
      </c>
      <c r="B51" s="72" t="s">
        <v>268</v>
      </c>
      <c r="E51" s="1112"/>
      <c r="F51" s="1111"/>
      <c r="T51" s="329" t="s">
        <v>416</v>
      </c>
      <c r="AN51" s="87" t="str">
        <f t="shared" si="1"/>
        <v>Добавить централизованную систему для дифференциации</v>
      </c>
      <c r="AQ51" s="75">
        <v>0</v>
      </c>
    </row>
    <row r="52" spans="1:43" ht="0" hidden="1" customHeight="1">
      <c r="A52" s="72" t="s">
        <v>267</v>
      </c>
      <c r="E52" s="1111"/>
      <c r="T52" s="329" t="s">
        <v>417</v>
      </c>
      <c r="AN52" s="87" t="str">
        <f t="shared" si="1"/>
        <v>Добавить территорию для дифференциации</v>
      </c>
      <c r="AQ52" s="75">
        <v>0</v>
      </c>
    </row>
    <row r="53" spans="1:43" ht="0" hidden="1" customHeight="1">
      <c r="T53" s="329" t="s">
        <v>449</v>
      </c>
      <c r="AN53" s="87" t="str">
        <f t="shared" si="1"/>
        <v>Добавить наименование тарифа</v>
      </c>
      <c r="AQ53" s="75">
        <v>0</v>
      </c>
    </row>
    <row r="54" spans="1:43" ht="11.45" customHeight="1">
      <c r="AQ54" s="17">
        <v>11</v>
      </c>
    </row>
    <row r="55" spans="1:43" ht="14.65" customHeight="1">
      <c r="T55" s="964"/>
      <c r="U55" s="964"/>
      <c r="V55" s="964"/>
      <c r="W55" s="964"/>
      <c r="X55" s="964"/>
      <c r="Y55" s="964"/>
      <c r="Z55" s="964"/>
      <c r="AA55" s="964"/>
      <c r="AB55" s="964"/>
      <c r="AC55" s="964"/>
      <c r="AD55" s="964"/>
      <c r="AE55" s="964"/>
      <c r="AF55" s="964"/>
      <c r="AG55" s="964"/>
      <c r="AH55" s="964"/>
      <c r="AI55" s="964"/>
      <c r="AJ55" s="964"/>
      <c r="AK55" s="964"/>
      <c r="AQ55" s="17">
        <v>14</v>
      </c>
    </row>
    <row r="56" spans="1:43" ht="14.65" customHeight="1">
      <c r="AQ56" s="17">
        <v>14</v>
      </c>
    </row>
    <row r="57" spans="1:43" ht="14.65" customHeight="1">
      <c r="T57" s="964"/>
      <c r="U57" s="964"/>
      <c r="V57" s="964"/>
      <c r="W57" s="964"/>
      <c r="X57" s="964"/>
      <c r="Y57" s="964"/>
      <c r="Z57" s="964"/>
      <c r="AA57" s="964"/>
      <c r="AB57" s="964"/>
      <c r="AC57" s="964"/>
      <c r="AD57" s="964"/>
      <c r="AE57" s="964"/>
      <c r="AF57" s="964"/>
      <c r="AG57" s="964"/>
      <c r="AH57" s="964"/>
      <c r="AI57" s="964"/>
      <c r="AJ57" s="964"/>
      <c r="AK57" s="964"/>
      <c r="AQ57" s="17">
        <v>14</v>
      </c>
    </row>
    <row r="58" spans="1:43" ht="22.5" hidden="1" customHeight="1">
      <c r="A58" s="37" t="s">
        <v>82</v>
      </c>
      <c r="B58" s="37">
        <v>0</v>
      </c>
      <c r="C58" s="37">
        <v>0</v>
      </c>
      <c r="D58" s="37">
        <v>0</v>
      </c>
      <c r="E58" s="37">
        <v>0</v>
      </c>
      <c r="F58" s="37">
        <v>0</v>
      </c>
      <c r="G58" s="37">
        <v>0</v>
      </c>
      <c r="H58" s="37">
        <v>0</v>
      </c>
      <c r="I58" s="37">
        <v>0</v>
      </c>
      <c r="J58" s="37">
        <v>0</v>
      </c>
      <c r="K58" s="37">
        <v>0</v>
      </c>
      <c r="L58" s="240">
        <v>0</v>
      </c>
      <c r="M58" s="41">
        <v>0</v>
      </c>
      <c r="N58" s="41">
        <v>0</v>
      </c>
      <c r="O58" s="41">
        <v>0</v>
      </c>
      <c r="P58" s="356">
        <v>3</v>
      </c>
      <c r="Q58" s="357">
        <v>3</v>
      </c>
      <c r="R58" s="357">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5">
        <v>10</v>
      </c>
      <c r="AM58" s="75">
        <v>10</v>
      </c>
      <c r="AN58" s="75">
        <v>10</v>
      </c>
      <c r="AO58" s="75">
        <v>10</v>
      </c>
      <c r="AP58" s="75">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2574-B116-4C49-36AE-4EF6D3A3D7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c r="AQ1" s="17" t="s">
        <v>14</v>
      </c>
    </row>
    <row r="2" spans="5:43" ht="23.25" hidden="1" customHeight="1">
      <c r="E2" s="1111">
        <v>1</v>
      </c>
      <c r="R2" s="294"/>
      <c r="S2" s="295" t="e">
        <f>INDEX(PT_DIFFERENTIATION_NUM_NTAR,MATCH(A2,PT_DIFFERENTIATION_NTAR_ID,0))</f>
        <v>#N/A</v>
      </c>
      <c r="T2" s="296" t="s">
        <v>126</v>
      </c>
      <c r="U2" s="297"/>
      <c r="V2" s="1106"/>
      <c r="W2" s="1107"/>
      <c r="X2" s="1107"/>
      <c r="Y2" s="1107"/>
      <c r="Z2" s="1107"/>
      <c r="AA2" s="1107"/>
      <c r="AB2" s="1108"/>
      <c r="AC2" s="1106" t="e">
        <f>INDEX(PT_DIFFERENTIATION_NTAR,MATCH(A2,PT_DIFFERENTIATION_NTAR_ID,0))</f>
        <v>#N/A</v>
      </c>
      <c r="AD2" s="1107"/>
      <c r="AE2" s="1107"/>
      <c r="AF2" s="1107"/>
      <c r="AG2" s="1107"/>
      <c r="AH2" s="1107"/>
      <c r="AI2" s="1107"/>
      <c r="AJ2" s="1108"/>
      <c r="AK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7" t="str">
        <f t="shared" ref="AN2:AN13" si="0">IF(T2="","",T2)</f>
        <v>Наименование тарифа</v>
      </c>
      <c r="AQ2" s="17">
        <v>0</v>
      </c>
    </row>
    <row r="3" spans="5:43"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8"/>
      <c r="AC3" s="1106" t="e">
        <f>INDEX(PT_DIFFERENTIATION_TER,MATCH(B3,PT_DIFFERENTIATION_TER_ID,0))</f>
        <v>#N/A</v>
      </c>
      <c r="AD3" s="1107"/>
      <c r="AE3" s="1107"/>
      <c r="AF3" s="1107"/>
      <c r="AG3" s="1107"/>
      <c r="AH3" s="1107"/>
      <c r="AI3" s="1107"/>
      <c r="AJ3" s="1108"/>
      <c r="AK3" s="299" t="s">
        <v>399</v>
      </c>
      <c r="AN3" s="87" t="str">
        <f t="shared" si="0"/>
        <v>Территория действия тарифа</v>
      </c>
      <c r="AQ3" s="17">
        <v>0</v>
      </c>
    </row>
    <row r="4" spans="5:43" ht="23.25" hidden="1" customHeight="1">
      <c r="E4" s="1112"/>
      <c r="F4" s="1112"/>
      <c r="G4" s="1111">
        <v>1</v>
      </c>
      <c r="Q4" s="300"/>
      <c r="R4" s="301"/>
      <c r="S4" s="295" t="e">
        <f>INDEX(PT_DIFFERENTIATION_NUM_CS,MATCH(C4,PT_DIFFERENTIATION_CS_ID,0))</f>
        <v>#N/A</v>
      </c>
      <c r="T4" s="303" t="s">
        <v>517</v>
      </c>
      <c r="U4" s="297"/>
      <c r="V4" s="1106"/>
      <c r="W4" s="1107"/>
      <c r="X4" s="1107"/>
      <c r="Y4" s="1107"/>
      <c r="Z4" s="1107"/>
      <c r="AA4" s="1107"/>
      <c r="AB4" s="1108"/>
      <c r="AC4" s="1106" t="e">
        <f>INDEX(PT_DIFFERENTIATION_CS,MATCH(C4,PT_DIFFERENTIATION_CS_ID,0))</f>
        <v>#N/A</v>
      </c>
      <c r="AD4" s="1107"/>
      <c r="AE4" s="1107"/>
      <c r="AF4" s="1107"/>
      <c r="AG4" s="1107"/>
      <c r="AH4" s="1107"/>
      <c r="AI4" s="1107"/>
      <c r="AJ4" s="1108"/>
      <c r="AK4" s="299" t="s">
        <v>518</v>
      </c>
      <c r="AN4" s="87" t="str">
        <f t="shared" si="0"/>
        <v>Наименование централизованной системы водоотведения</v>
      </c>
      <c r="AQ4" s="17">
        <v>0</v>
      </c>
    </row>
    <row r="5" spans="5:43"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1"/>
      <c r="AC5" s="1182"/>
      <c r="AD5" s="1183"/>
      <c r="AE5" s="1183"/>
      <c r="AF5" s="1183"/>
      <c r="AG5" s="1183"/>
      <c r="AH5" s="1183"/>
      <c r="AI5" s="1183"/>
      <c r="AJ5" s="1184"/>
      <c r="AK5" s="299" t="s">
        <v>485</v>
      </c>
      <c r="AN5" s="87" t="str">
        <f t="shared" si="0"/>
        <v>Наименование признака дифференциации</v>
      </c>
      <c r="AQ5" s="17">
        <v>0</v>
      </c>
    </row>
    <row r="6" spans="5:43"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2"/>
      <c r="AC6" s="1100"/>
      <c r="AD6" s="1101"/>
      <c r="AE6" s="1101"/>
      <c r="AF6" s="1101"/>
      <c r="AG6" s="1101"/>
      <c r="AH6" s="1101"/>
      <c r="AI6" s="1101"/>
      <c r="AJ6" s="1102"/>
      <c r="AK6" s="386" t="s">
        <v>486</v>
      </c>
      <c r="AN6" s="87" t="str">
        <f t="shared" si="0"/>
        <v>Группа потребителей</v>
      </c>
      <c r="AQ6" s="17">
        <v>0</v>
      </c>
    </row>
    <row r="7" spans="5:43" ht="23.25" hidden="1" customHeight="1">
      <c r="E7" s="1112"/>
      <c r="F7" s="1112"/>
      <c r="G7" s="1112"/>
      <c r="H7" s="1112"/>
      <c r="I7" s="1114"/>
      <c r="J7" s="1114"/>
      <c r="K7" s="1113" t="e">
        <f>J6&amp;".1"</f>
        <v>#N/A</v>
      </c>
      <c r="P7" s="964"/>
      <c r="Q7" s="964"/>
      <c r="R7" s="309">
        <v>1</v>
      </c>
      <c r="S7" s="295" t="e">
        <f>$K7</f>
        <v>#N/A</v>
      </c>
      <c r="T7" s="426"/>
      <c r="U7" s="297"/>
      <c r="V7" s="312"/>
      <c r="W7" s="312"/>
      <c r="X7" s="314"/>
      <c r="Y7" s="1116"/>
      <c r="Z7" s="1004" t="s">
        <v>66</v>
      </c>
      <c r="AA7" s="1116"/>
      <c r="AB7" s="1004" t="s">
        <v>66</v>
      </c>
      <c r="AC7" s="312"/>
      <c r="AD7" s="312"/>
      <c r="AE7" s="314"/>
      <c r="AF7" s="1116"/>
      <c r="AG7" s="1004" t="s">
        <v>66</v>
      </c>
      <c r="AH7" s="1118"/>
      <c r="AI7" s="1004" t="s">
        <v>66</v>
      </c>
      <c r="AJ7" s="427"/>
      <c r="AK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 t="e">
        <f ca="1">STRCHECKDATE(V8:AJ8)</f>
        <v>#NAME?</v>
      </c>
      <c r="AN7" s="87" t="str">
        <f t="shared" si="0"/>
        <v/>
      </c>
      <c r="AQ7" s="17">
        <v>0</v>
      </c>
    </row>
    <row r="8" spans="5:43" ht="14.25" hidden="1" customHeight="1">
      <c r="E8" s="1112"/>
      <c r="F8" s="1112"/>
      <c r="G8" s="1112"/>
      <c r="H8" s="1112"/>
      <c r="I8" s="1114"/>
      <c r="J8" s="1114"/>
      <c r="K8" s="1113"/>
      <c r="P8" s="964"/>
      <c r="Q8" s="964"/>
      <c r="R8" s="309"/>
      <c r="S8" s="278"/>
      <c r="T8" s="297"/>
      <c r="U8" s="297"/>
      <c r="V8" s="313"/>
      <c r="W8" s="313"/>
      <c r="X8" s="316" t="str">
        <f>Y7&amp;"-"&amp;AA7</f>
        <v>-</v>
      </c>
      <c r="Y8" s="1117"/>
      <c r="Z8" s="1004"/>
      <c r="AA8" s="1117"/>
      <c r="AB8" s="1004"/>
      <c r="AC8" s="313"/>
      <c r="AD8" s="313"/>
      <c r="AE8" s="316" t="str">
        <f>AF7&amp;"-"&amp;AH7</f>
        <v>-</v>
      </c>
      <c r="AF8" s="1117"/>
      <c r="AG8" s="1004"/>
      <c r="AH8" s="1119"/>
      <c r="AI8" s="1004"/>
      <c r="AJ8" s="428"/>
      <c r="AK8" s="1185"/>
      <c r="AN8" s="87" t="str">
        <f t="shared" si="0"/>
        <v/>
      </c>
      <c r="AQ8" s="17">
        <v>0</v>
      </c>
    </row>
    <row r="9" spans="5:43"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299" t="s">
        <v>488</v>
      </c>
      <c r="AN9" s="87" t="str">
        <f t="shared" si="0"/>
        <v>Добавить значение признака дифференциации</v>
      </c>
      <c r="AQ9" s="17">
        <v>0</v>
      </c>
    </row>
    <row r="10" spans="5:43" ht="21" hidden="1" customHeight="1">
      <c r="E10" s="1112"/>
      <c r="F10" s="1112"/>
      <c r="G10" s="1112"/>
      <c r="H10" s="1112"/>
      <c r="I10" s="1113"/>
      <c r="P10" s="964"/>
      <c r="R10" s="307"/>
      <c r="S10" s="318"/>
      <c r="T10" s="324" t="s">
        <v>413</v>
      </c>
      <c r="U10" s="117"/>
      <c r="V10" s="117"/>
      <c r="W10" s="117"/>
      <c r="X10" s="117"/>
      <c r="Y10" s="117"/>
      <c r="Z10" s="117"/>
      <c r="AA10" s="117"/>
      <c r="AB10" s="322"/>
      <c r="AC10" s="117"/>
      <c r="AD10" s="117"/>
      <c r="AE10" s="117"/>
      <c r="AF10" s="117"/>
      <c r="AG10" s="117"/>
      <c r="AH10" s="117"/>
      <c r="AI10" s="322"/>
      <c r="AJ10" s="117"/>
      <c r="AK10" s="429"/>
      <c r="AN10" s="87" t="str">
        <f t="shared" si="0"/>
        <v>Добавить группу потребителей</v>
      </c>
      <c r="AQ10" s="17">
        <v>0</v>
      </c>
    </row>
    <row r="11" spans="5:43" ht="21" hidden="1" customHeight="1">
      <c r="E11" s="1112"/>
      <c r="F11" s="1112"/>
      <c r="G11" s="1112"/>
      <c r="H11" s="1111"/>
      <c r="R11" s="294"/>
      <c r="S11" s="318"/>
      <c r="T11" s="430" t="s">
        <v>489</v>
      </c>
      <c r="U11" s="117"/>
      <c r="V11" s="117"/>
      <c r="W11" s="117"/>
      <c r="X11" s="117"/>
      <c r="Y11" s="117"/>
      <c r="Z11" s="117"/>
      <c r="AA11" s="117"/>
      <c r="AB11" s="322"/>
      <c r="AC11" s="117"/>
      <c r="AD11" s="117"/>
      <c r="AE11" s="117"/>
      <c r="AF11" s="117"/>
      <c r="AG11" s="117"/>
      <c r="AH11" s="117"/>
      <c r="AI11" s="322"/>
      <c r="AJ11" s="117"/>
      <c r="AK11" s="323"/>
      <c r="AN11" s="87" t="str">
        <f t="shared" si="0"/>
        <v>Добавить наименование признака дифференциации</v>
      </c>
      <c r="AQ11" s="17">
        <v>0</v>
      </c>
    </row>
    <row r="12" spans="5:43" ht="14.25" hidden="1" customHeight="1">
      <c r="E12" s="1112"/>
      <c r="F12" s="1111"/>
      <c r="T12" s="329" t="s">
        <v>416</v>
      </c>
      <c r="AN12" s="87" t="str">
        <f t="shared" si="0"/>
        <v>Добавить централизованную систему для дифференциации</v>
      </c>
      <c r="AQ12" s="75">
        <v>0</v>
      </c>
    </row>
    <row r="13" spans="5:43" ht="14.25" hidden="1" customHeight="1">
      <c r="E13" s="1111"/>
      <c r="T13" s="329" t="s">
        <v>417</v>
      </c>
      <c r="AN13" s="87" t="str">
        <f t="shared" si="0"/>
        <v>Добавить территорию для дифференциации</v>
      </c>
      <c r="AQ13" s="75">
        <v>0</v>
      </c>
    </row>
    <row r="14" spans="5:43" ht="14.25" hidden="1" customHeight="1">
      <c r="AQ14" s="17">
        <v>0</v>
      </c>
    </row>
    <row r="15" spans="5:43" ht="14.25" hidden="1" customHeight="1">
      <c r="AC15" s="330"/>
      <c r="AD15" s="330"/>
      <c r="AE15" s="331"/>
      <c r="AF15" s="1110"/>
      <c r="AG15" s="1109" t="s">
        <v>66</v>
      </c>
      <c r="AH15" s="1110"/>
      <c r="AI15" s="1109" t="s">
        <v>66</v>
      </c>
      <c r="AQ15" s="17">
        <v>0</v>
      </c>
    </row>
    <row r="16" spans="5:43" ht="14.25" hidden="1" customHeight="1">
      <c r="AC16" s="330"/>
      <c r="AD16" s="330"/>
      <c r="AE16" s="316" t="str">
        <f>AF15&amp;"-"&amp;AH15</f>
        <v>-</v>
      </c>
      <c r="AF16" s="1109"/>
      <c r="AG16" s="1109"/>
      <c r="AH16" s="1109"/>
      <c r="AI16" s="1109"/>
      <c r="AQ16" s="17">
        <v>0</v>
      </c>
    </row>
    <row r="17" spans="15:43" ht="14.25" hidden="1" customHeight="1">
      <c r="AQ17" s="17">
        <v>0</v>
      </c>
    </row>
    <row r="18" spans="15:43" ht="22.5" hidden="1" customHeight="1">
      <c r="O18" s="332" t="s">
        <v>418</v>
      </c>
      <c r="Y18" s="332"/>
      <c r="AA18" s="332"/>
      <c r="AF18" s="332"/>
      <c r="AH18" s="332"/>
      <c r="AQ18" s="37">
        <v>0</v>
      </c>
    </row>
    <row r="19" spans="15:43" ht="14.25" hidden="1" customHeight="1">
      <c r="AQ19" s="37">
        <v>0</v>
      </c>
    </row>
    <row r="20" spans="15:43" ht="12" hidden="1" customHeight="1">
      <c r="O20" s="306" t="s">
        <v>419</v>
      </c>
      <c r="T20" s="37" t="s">
        <v>420</v>
      </c>
      <c r="Z20" s="126" t="s">
        <v>421</v>
      </c>
      <c r="AB20" s="126" t="s">
        <v>422</v>
      </c>
      <c r="AC20" s="37" t="s">
        <v>420</v>
      </c>
      <c r="AG20" s="126" t="s">
        <v>423</v>
      </c>
      <c r="AI20" s="126" t="s">
        <v>422</v>
      </c>
      <c r="AQ20" s="37">
        <v>0</v>
      </c>
    </row>
    <row r="21" spans="15:43" ht="14.25" hidden="1" customHeight="1">
      <c r="AQ21" s="17">
        <v>0</v>
      </c>
    </row>
    <row r="22" spans="15:43" ht="14.25" hidden="1" customHeight="1">
      <c r="AQ22" s="17">
        <v>0</v>
      </c>
    </row>
    <row r="23" spans="15:43" ht="14.65" customHeight="1">
      <c r="Q23" s="333"/>
      <c r="R23" s="333"/>
      <c r="S23" s="334"/>
      <c r="T23" s="38"/>
      <c r="U23" s="38"/>
      <c r="AQ23" s="17">
        <v>14</v>
      </c>
    </row>
    <row r="24" spans="15:43" ht="14.65" customHeight="1">
      <c r="Q24" s="333"/>
      <c r="R24" s="333"/>
      <c r="S24" s="10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093"/>
      <c r="U24" s="1093"/>
      <c r="V24" s="1093"/>
      <c r="W24" s="1093"/>
      <c r="X24" s="1093"/>
      <c r="Y24" s="1093"/>
      <c r="Z24" s="1093"/>
      <c r="AA24" s="1093"/>
      <c r="AB24" s="1093"/>
      <c r="AC24" s="1093"/>
      <c r="AD24" s="1093"/>
      <c r="AE24" s="1093"/>
      <c r="AF24" s="1093"/>
      <c r="AG24" s="1093"/>
      <c r="AH24" s="1093"/>
      <c r="AQ24" s="17">
        <v>14</v>
      </c>
    </row>
    <row r="25" spans="15:43"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Q25" s="17">
        <v>14</v>
      </c>
    </row>
    <row r="26" spans="15:43" ht="14.25" hidden="1" customHeight="1">
      <c r="Q26" s="333"/>
      <c r="R26" s="333"/>
      <c r="S26" s="334"/>
      <c r="T26" s="38"/>
      <c r="U26" s="38"/>
      <c r="V26" s="335"/>
      <c r="W26" s="335"/>
      <c r="X26" s="335"/>
      <c r="Y26" s="335"/>
      <c r="Z26" s="335"/>
      <c r="AA26" s="335"/>
      <c r="AB26" s="335"/>
      <c r="AC26" s="335"/>
      <c r="AD26" s="335"/>
      <c r="AE26" s="335"/>
      <c r="AF26" s="335"/>
      <c r="AG26" s="335"/>
      <c r="AH26" s="335"/>
      <c r="AI26" s="335"/>
      <c r="AQ26" s="17">
        <v>0</v>
      </c>
    </row>
    <row r="27" spans="15:43" ht="25.5" hidden="1" customHeight="1">
      <c r="S27" s="1103" t="s">
        <v>42</v>
      </c>
      <c r="T27" s="1103"/>
      <c r="U27" s="337"/>
      <c r="V27" s="1105" t="str">
        <f>IF(TITLE_NAME_OR_PR_CHANGE="",IF(TITLE_NAME_OR_PR="","",TITLE_NAME_OR_PR),TITLE_NAME_OR_PR_CHANGE)</f>
        <v/>
      </c>
      <c r="W27" s="1105"/>
      <c r="X27" s="1105"/>
      <c r="Y27" s="1105"/>
      <c r="Z27" s="1105"/>
      <c r="AA27" s="1105"/>
      <c r="AC27" s="1105" t="str">
        <f>IF(TITLE_NAME_OR_PR_CHANGE="",IF(TITLE_NAME_OR_PR="","",TITLE_NAME_OR_PR),TITLE_NAME_OR_PR_CHANGE)</f>
        <v/>
      </c>
      <c r="AD27" s="1105"/>
      <c r="AE27" s="1105"/>
      <c r="AF27" s="1105"/>
      <c r="AG27" s="1105"/>
      <c r="AH27" s="1105"/>
      <c r="AQ27" s="111">
        <v>0</v>
      </c>
    </row>
    <row r="28" spans="15:43" ht="18.75" hidden="1" customHeight="1">
      <c r="S28" s="1103" t="s">
        <v>424</v>
      </c>
      <c r="T28" s="1103"/>
      <c r="U28" s="337"/>
      <c r="V28" s="1104" t="str">
        <f>IF(TITLE_DATE_PR_CHANGE="",IF(TITLE_DATE_PR="","",TITLE_DATE_PR),TITLE_DATE_PR_CHANGE)</f>
        <v/>
      </c>
      <c r="W28" s="1104"/>
      <c r="X28" s="1104"/>
      <c r="Y28" s="1104"/>
      <c r="Z28" s="1104"/>
      <c r="AA28" s="1104"/>
      <c r="AC28" s="1104" t="str">
        <f>IF(TITLE_DATE_PR_CHANGE="",IF(TITLE_DATE_PR="","",TITLE_DATE_PR),TITLE_DATE_PR_CHANGE)</f>
        <v/>
      </c>
      <c r="AD28" s="1104"/>
      <c r="AE28" s="1104"/>
      <c r="AF28" s="1104"/>
      <c r="AG28" s="1104"/>
      <c r="AH28" s="1104"/>
      <c r="AQ28" s="111">
        <v>0</v>
      </c>
    </row>
    <row r="29" spans="15:43" ht="18.75" hidden="1" customHeight="1">
      <c r="S29" s="1103" t="s">
        <v>425</v>
      </c>
      <c r="T29" s="1103"/>
      <c r="U29" s="337"/>
      <c r="V29" s="1105" t="str">
        <f>IF(TITLE_NUMBER_PR_CHANGE="",IF(TITLE_NUMBER_PR="","",TITLE_NUMBER_PR),TITLE_NUMBER_PR_CHANGE)</f>
        <v/>
      </c>
      <c r="W29" s="1105"/>
      <c r="X29" s="1105"/>
      <c r="Y29" s="1105"/>
      <c r="Z29" s="1105"/>
      <c r="AA29" s="1105"/>
      <c r="AC29" s="1105" t="str">
        <f>IF(TITLE_NUMBER_PR_CHANGE="",IF(TITLE_NUMBER_PR="","",TITLE_NUMBER_PR),TITLE_NUMBER_PR_CHANGE)</f>
        <v/>
      </c>
      <c r="AD29" s="1105"/>
      <c r="AE29" s="1105"/>
      <c r="AF29" s="1105"/>
      <c r="AG29" s="1105"/>
      <c r="AH29" s="1105"/>
      <c r="AQ29" s="111">
        <v>0</v>
      </c>
    </row>
    <row r="30" spans="15:43" ht="18.75" hidden="1" customHeight="1">
      <c r="S30" s="1103" t="s">
        <v>43</v>
      </c>
      <c r="T30" s="1103"/>
      <c r="U30" s="337"/>
      <c r="V30" s="1105" t="str">
        <f>IF(TITLE_IST_PUB_CHANGE="",IF(TITLE_IST_PUB="","",TITLE_IST_PUB),TITLE_IST_PUB_CHANGE)</f>
        <v/>
      </c>
      <c r="W30" s="1105"/>
      <c r="X30" s="1105"/>
      <c r="Y30" s="1105"/>
      <c r="Z30" s="1105"/>
      <c r="AA30" s="1105"/>
      <c r="AC30" s="1105" t="str">
        <f>IF(TITLE_IST_PUB_CHANGE="",IF(TITLE_IST_PUB="","",TITLE_IST_PUB),TITLE_IST_PUB_CHANGE)</f>
        <v/>
      </c>
      <c r="AD30" s="1105"/>
      <c r="AE30" s="1105"/>
      <c r="AF30" s="1105"/>
      <c r="AG30" s="1105"/>
      <c r="AH30" s="1105"/>
      <c r="AQ30" s="111">
        <v>0</v>
      </c>
    </row>
    <row r="31" spans="15:43" ht="14.25" hidden="1" customHeight="1">
      <c r="Q31" s="333"/>
      <c r="R31" s="333"/>
      <c r="S31" s="334"/>
      <c r="T31" s="38"/>
      <c r="U31" s="38"/>
      <c r="V31" s="335"/>
      <c r="W31" s="335"/>
      <c r="X31" s="335"/>
      <c r="Y31" s="335"/>
      <c r="Z31" s="335"/>
      <c r="AA31" s="335"/>
      <c r="AB31" s="335"/>
      <c r="AC31" s="335"/>
      <c r="AD31" s="335"/>
      <c r="AE31" s="335"/>
      <c r="AF31" s="335"/>
      <c r="AG31" s="335"/>
      <c r="AH31" s="335"/>
      <c r="AI31" s="335"/>
      <c r="AQ31" s="17">
        <v>0</v>
      </c>
    </row>
    <row r="32" spans="15:43" ht="18.75" hidden="1" customHeight="1">
      <c r="S32" s="1103" t="s">
        <v>426</v>
      </c>
      <c r="T32" s="1103"/>
      <c r="U32" s="337"/>
      <c r="V32" s="1104" t="str">
        <f>IF(TITLE_DATE_PR_CHANGE="",IF(TITLE_DATE_PR="","",TITLE_DATE_PR),TITLE_DATE_PR_CHANGE)</f>
        <v/>
      </c>
      <c r="W32" s="1104"/>
      <c r="X32" s="1104"/>
      <c r="Y32" s="1104"/>
      <c r="Z32" s="1104"/>
      <c r="AA32" s="1104"/>
      <c r="AC32" s="1104" t="str">
        <f>IF(TITLE_DATE_PR_CHANGE="",IF(TITLE_DATE_PR="","",TITLE_DATE_PR),TITLE_DATE_PR_CHANGE)</f>
        <v/>
      </c>
      <c r="AD32" s="1104"/>
      <c r="AE32" s="1104"/>
      <c r="AF32" s="1104"/>
      <c r="AG32" s="1104"/>
      <c r="AH32" s="1104"/>
      <c r="AQ32" s="111">
        <v>0</v>
      </c>
    </row>
    <row r="33" spans="1:43" ht="18.75" hidden="1" customHeight="1">
      <c r="S33" s="1103" t="s">
        <v>427</v>
      </c>
      <c r="T33" s="1103"/>
      <c r="U33" s="337"/>
      <c r="V33" s="1105" t="str">
        <f>IF(TITLE_NUMBER_PR_CHANGE="",IF(TITLE_NUMBER_PR="","",TITLE_NUMBER_PR),TITLE_NUMBER_PR_CHANGE)</f>
        <v/>
      </c>
      <c r="W33" s="1105"/>
      <c r="X33" s="1105"/>
      <c r="Y33" s="1105"/>
      <c r="Z33" s="1105"/>
      <c r="AA33" s="1105"/>
      <c r="AC33" s="1105" t="str">
        <f>IF(TITLE_NUMBER_PR_CHANGE="",IF(TITLE_NUMBER_PR="","",TITLE_NUMBER_PR),TITLE_NUMBER_PR_CHANGE)</f>
        <v/>
      </c>
      <c r="AD33" s="1105"/>
      <c r="AE33" s="1105"/>
      <c r="AF33" s="1105"/>
      <c r="AG33" s="1105"/>
      <c r="AH33" s="1105"/>
      <c r="AQ33" s="111">
        <v>0</v>
      </c>
    </row>
    <row r="34" spans="1:43" ht="1.1499999999999999" customHeight="1">
      <c r="AB34" s="75" t="s">
        <v>428</v>
      </c>
      <c r="AI34" s="75" t="s">
        <v>428</v>
      </c>
      <c r="AQ34" s="111">
        <v>1</v>
      </c>
    </row>
    <row r="35" spans="1:43" ht="14.65" customHeight="1">
      <c r="Q35" s="333"/>
      <c r="R35" s="333"/>
      <c r="S35" s="334"/>
      <c r="T35" s="38"/>
      <c r="U35" s="339"/>
      <c r="V35" s="1123"/>
      <c r="W35" s="1123"/>
      <c r="X35" s="1123"/>
      <c r="Y35" s="1123"/>
      <c r="Z35" s="1123"/>
      <c r="AA35" s="1123"/>
      <c r="AB35" s="1123"/>
      <c r="AC35" s="1123"/>
      <c r="AD35" s="1123"/>
      <c r="AE35" s="1123"/>
      <c r="AF35" s="1123"/>
      <c r="AG35" s="1123"/>
      <c r="AH35" s="1123"/>
      <c r="AI35" s="1123"/>
      <c r="AQ35" s="17">
        <v>14</v>
      </c>
    </row>
    <row r="36" spans="1:43"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t="s">
        <v>302</v>
      </c>
      <c r="AQ36" s="17">
        <v>14</v>
      </c>
    </row>
    <row r="37" spans="1:43" ht="14.65" customHeight="1">
      <c r="Q37" s="333"/>
      <c r="R37" s="333"/>
      <c r="S37" s="1124" t="s">
        <v>88</v>
      </c>
      <c r="T37" s="1073" t="s">
        <v>429</v>
      </c>
      <c r="U37" s="341"/>
      <c r="V37" s="1125" t="s">
        <v>430</v>
      </c>
      <c r="W37" s="1126"/>
      <c r="X37" s="1126"/>
      <c r="Y37" s="1126"/>
      <c r="Z37" s="1126"/>
      <c r="AA37" s="1127"/>
      <c r="AB37" s="1128" t="s">
        <v>431</v>
      </c>
      <c r="AC37" s="1125" t="s">
        <v>430</v>
      </c>
      <c r="AD37" s="1126"/>
      <c r="AE37" s="1126"/>
      <c r="AF37" s="1126"/>
      <c r="AG37" s="1126"/>
      <c r="AH37" s="1127"/>
      <c r="AI37" s="1128" t="s">
        <v>432</v>
      </c>
      <c r="AJ37" s="1131" t="s">
        <v>433</v>
      </c>
      <c r="AK37" s="995"/>
      <c r="AQ37" s="17">
        <v>14</v>
      </c>
    </row>
    <row r="38" spans="1:43" ht="35.65" customHeight="1">
      <c r="Q38" s="333"/>
      <c r="R38" s="333"/>
      <c r="S38" s="1124"/>
      <c r="T38" s="1073"/>
      <c r="U38" s="343"/>
      <c r="V38" s="161" t="s">
        <v>490</v>
      </c>
      <c r="W38" s="977" t="s">
        <v>436</v>
      </c>
      <c r="X38" s="976"/>
      <c r="Y38" s="977" t="s">
        <v>437</v>
      </c>
      <c r="Z38" s="982"/>
      <c r="AA38" s="976"/>
      <c r="AB38" s="1129"/>
      <c r="AC38" s="161" t="s">
        <v>490</v>
      </c>
      <c r="AD38" s="977" t="s">
        <v>436</v>
      </c>
      <c r="AE38" s="976"/>
      <c r="AF38" s="977" t="s">
        <v>437</v>
      </c>
      <c r="AG38" s="982"/>
      <c r="AH38" s="976"/>
      <c r="AI38" s="1129"/>
      <c r="AJ38" s="1132"/>
      <c r="AK38" s="995"/>
      <c r="AQ38" s="17">
        <v>34</v>
      </c>
    </row>
    <row r="39" spans="1:43" ht="90.4" customHeight="1">
      <c r="B39" s="126" t="s">
        <v>138</v>
      </c>
      <c r="C39" s="126" t="s">
        <v>139</v>
      </c>
      <c r="D39" s="126" t="s">
        <v>140</v>
      </c>
      <c r="E39" s="306" t="s">
        <v>438</v>
      </c>
      <c r="F39" s="306" t="s">
        <v>439</v>
      </c>
      <c r="G39" s="306" t="s">
        <v>440</v>
      </c>
      <c r="I39" s="306" t="s">
        <v>491</v>
      </c>
      <c r="J39" s="306" t="s">
        <v>443</v>
      </c>
      <c r="K39" s="306" t="s">
        <v>492</v>
      </c>
      <c r="L39" s="306" t="s">
        <v>419</v>
      </c>
      <c r="Q39" s="333"/>
      <c r="R39" s="333"/>
      <c r="S39" s="1124"/>
      <c r="T39" s="1073"/>
      <c r="U39" s="344"/>
      <c r="V39" s="161" t="s">
        <v>519</v>
      </c>
      <c r="W39" s="134" t="s">
        <v>520</v>
      </c>
      <c r="X39" s="134" t="s">
        <v>495</v>
      </c>
      <c r="Y39" s="134" t="s">
        <v>447</v>
      </c>
      <c r="Z39" s="1078" t="s">
        <v>448</v>
      </c>
      <c r="AA39" s="1092"/>
      <c r="AB39" s="1130"/>
      <c r="AC39" s="161" t="s">
        <v>519</v>
      </c>
      <c r="AD39" s="134" t="s">
        <v>520</v>
      </c>
      <c r="AE39" s="134" t="s">
        <v>495</v>
      </c>
      <c r="AF39" s="134" t="s">
        <v>447</v>
      </c>
      <c r="AG39" s="1078" t="s">
        <v>448</v>
      </c>
      <c r="AH39" s="1092"/>
      <c r="AI39" s="1130"/>
      <c r="AJ39" s="1133"/>
      <c r="AK39" s="995"/>
      <c r="AQ39" s="17">
        <v>86</v>
      </c>
    </row>
    <row r="40" spans="1:43" ht="0" hidden="1" customHeight="1">
      <c r="Q40" s="347"/>
      <c r="R40" s="348">
        <v>1</v>
      </c>
      <c r="S40" s="349" t="s">
        <v>110</v>
      </c>
      <c r="T40" s="350" t="s">
        <v>111</v>
      </c>
      <c r="U40" s="351" t="str">
        <f ca="1">OFFSET(U40,0,-1)</f>
        <v>2</v>
      </c>
      <c r="V40" s="352">
        <f ca="1">OFFSET(V40,0,-1)+1</f>
        <v>3</v>
      </c>
      <c r="W40" s="352">
        <f ca="1">OFFSET(W40,0,-1)+1</f>
        <v>4</v>
      </c>
      <c r="X40" s="352">
        <f ca="1">OFFSET(X40,0,-1)+1</f>
        <v>5</v>
      </c>
      <c r="Y40" s="352">
        <f ca="1">OFFSET(Y40,0,-1)+1</f>
        <v>6</v>
      </c>
      <c r="Z40" s="1122">
        <f ca="1">OFFSET(Z40,0,-1)+1</f>
        <v>7</v>
      </c>
      <c r="AA40" s="1122"/>
      <c r="AB40" s="352">
        <f ca="1">OFFSET(AB40,0,-2)+1</f>
        <v>8</v>
      </c>
      <c r="AC40" s="352">
        <f ca="1">OFFSET(AC40,0,-1)+1</f>
        <v>9</v>
      </c>
      <c r="AD40" s="352">
        <f ca="1">OFFSET(AD40,0,-1)+1</f>
        <v>10</v>
      </c>
      <c r="AE40" s="352">
        <f ca="1">OFFSET(AE40,0,-1)+1</f>
        <v>11</v>
      </c>
      <c r="AF40" s="352">
        <f ca="1">OFFSET(AF40,0,-1)+1</f>
        <v>12</v>
      </c>
      <c r="AG40" s="1122">
        <f ca="1">OFFSET(AG40,0,-1)+1</f>
        <v>13</v>
      </c>
      <c r="AH40" s="1122"/>
      <c r="AI40" s="352">
        <f ca="1">OFFSET(AI40,0,-2)+1</f>
        <v>14</v>
      </c>
      <c r="AJ40" s="351">
        <f ca="1">OFFSET(AJ40,0,-1)</f>
        <v>14</v>
      </c>
      <c r="AK40" s="352">
        <f ca="1">OFFSET(AK40,0,-1)+1</f>
        <v>15</v>
      </c>
      <c r="AQ40" s="258">
        <v>0</v>
      </c>
    </row>
    <row r="41" spans="1:43" ht="24" customHeight="1">
      <c r="A41" s="353" t="s">
        <v>272</v>
      </c>
      <c r="E41" s="1111">
        <v>1</v>
      </c>
      <c r="R41" s="294"/>
      <c r="S41" s="295">
        <f>INDEX(PT_DIFFERENTIATION_NUM_NTAR,MATCH(A41,PT_DIFFERENTIATION_NTAR_ID,0))</f>
        <v>0</v>
      </c>
      <c r="T41" s="296" t="s">
        <v>126</v>
      </c>
      <c r="U41" s="297"/>
      <c r="V41" s="1106"/>
      <c r="W41" s="1107"/>
      <c r="X41" s="1107"/>
      <c r="Y41" s="1107"/>
      <c r="Z41" s="1107"/>
      <c r="AA41" s="1107"/>
      <c r="AB41" s="1108"/>
      <c r="AC41" s="1106" t="str">
        <f>INDEX(PT_DIFFERENTIATION_NTAR,MATCH(A41,PT_DIFFERENTIATION_NTAR_ID,0))</f>
        <v/>
      </c>
      <c r="AD41" s="1107"/>
      <c r="AE41" s="1107"/>
      <c r="AF41" s="1107"/>
      <c r="AG41" s="1107"/>
      <c r="AH41" s="1107"/>
      <c r="AI41" s="1107"/>
      <c r="AJ41" s="1108"/>
      <c r="AK41"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7" t="str">
        <f t="shared" ref="AN41:AN53" si="1">IF(T41="","",T41)</f>
        <v>Наименование тарифа</v>
      </c>
      <c r="AQ41" s="17">
        <v>23</v>
      </c>
    </row>
    <row r="42" spans="1:43" ht="24" customHeight="1">
      <c r="A42" s="353" t="s">
        <v>272</v>
      </c>
      <c r="B42" s="353" t="s">
        <v>273</v>
      </c>
      <c r="E42" s="1112"/>
      <c r="F42" s="1111">
        <v>1</v>
      </c>
      <c r="Q42" s="300"/>
      <c r="R42" s="301"/>
      <c r="S42" s="295" t="str">
        <f>INDEX(PT_DIFFERENTIATION_NUM_TER,MATCH(B42,PT_DIFFERENTIATION_TER_ID,0))</f>
        <v>.</v>
      </c>
      <c r="T42" s="302" t="s">
        <v>398</v>
      </c>
      <c r="U42" s="297"/>
      <c r="V42" s="1106"/>
      <c r="W42" s="1107"/>
      <c r="X42" s="1107"/>
      <c r="Y42" s="1107"/>
      <c r="Z42" s="1107"/>
      <c r="AA42" s="1107"/>
      <c r="AB42" s="1108"/>
      <c r="AC42" s="1106" t="str">
        <f>INDEX(PT_DIFFERENTIATION_TER,MATCH(B42,PT_DIFFERENTIATION_TER_ID,0))</f>
        <v/>
      </c>
      <c r="AD42" s="1107"/>
      <c r="AE42" s="1107"/>
      <c r="AF42" s="1107"/>
      <c r="AG42" s="1107"/>
      <c r="AH42" s="1107"/>
      <c r="AI42" s="1107"/>
      <c r="AJ42" s="1108"/>
      <c r="AK42" s="299" t="s">
        <v>399</v>
      </c>
      <c r="AN42" s="87" t="str">
        <f t="shared" si="1"/>
        <v>Территория действия тарифа</v>
      </c>
      <c r="AQ42" s="17">
        <v>23</v>
      </c>
    </row>
    <row r="43" spans="1:43" ht="24" customHeight="1">
      <c r="A43" s="353" t="s">
        <v>272</v>
      </c>
      <c r="B43" s="353" t="s">
        <v>273</v>
      </c>
      <c r="C43" s="353" t="s">
        <v>274</v>
      </c>
      <c r="E43" s="1112"/>
      <c r="F43" s="1112"/>
      <c r="G43" s="1111">
        <v>1</v>
      </c>
      <c r="Q43" s="300"/>
      <c r="R43" s="301"/>
      <c r="S43" s="295" t="str">
        <f>INDEX(PT_DIFFERENTIATION_NUM_CS,MATCH(C43,PT_DIFFERENTIATION_CS_ID,0))</f>
        <v>..</v>
      </c>
      <c r="T43" s="303" t="s">
        <v>517</v>
      </c>
      <c r="U43" s="297"/>
      <c r="V43" s="1106"/>
      <c r="W43" s="1107"/>
      <c r="X43" s="1107"/>
      <c r="Y43" s="1107"/>
      <c r="Z43" s="1107"/>
      <c r="AA43" s="1107"/>
      <c r="AB43" s="1108"/>
      <c r="AC43" s="1106" t="str">
        <f>INDEX(PT_DIFFERENTIATION_CS,MATCH(C43,PT_DIFFERENTIATION_CS_ID,0))</f>
        <v/>
      </c>
      <c r="AD43" s="1107"/>
      <c r="AE43" s="1107"/>
      <c r="AF43" s="1107"/>
      <c r="AG43" s="1107"/>
      <c r="AH43" s="1107"/>
      <c r="AI43" s="1107"/>
      <c r="AJ43" s="1108"/>
      <c r="AK43" s="299" t="s">
        <v>518</v>
      </c>
      <c r="AN43" s="87" t="str">
        <f t="shared" si="1"/>
        <v>Наименование централизованной системы водоотведения</v>
      </c>
      <c r="AQ43" s="17">
        <v>23</v>
      </c>
    </row>
    <row r="44" spans="1:43" ht="24" customHeight="1">
      <c r="A44" s="353" t="s">
        <v>272</v>
      </c>
      <c r="B44" s="353" t="s">
        <v>273</v>
      </c>
      <c r="C44" s="353" t="s">
        <v>274</v>
      </c>
      <c r="D44" s="353" t="s">
        <v>522</v>
      </c>
      <c r="E44" s="1112"/>
      <c r="F44" s="1112"/>
      <c r="G44" s="1112"/>
      <c r="H44" s="1112"/>
      <c r="I44" s="1113" t="str">
        <f>S43&amp;".1"</f>
        <v>...1</v>
      </c>
      <c r="P44" s="1115">
        <v>1</v>
      </c>
      <c r="R44" s="307"/>
      <c r="S44" s="295" t="str">
        <f>$I44</f>
        <v>...1</v>
      </c>
      <c r="T44" s="308" t="s">
        <v>484</v>
      </c>
      <c r="U44" s="297"/>
      <c r="V44" s="1179"/>
      <c r="W44" s="1180"/>
      <c r="X44" s="1180"/>
      <c r="Y44" s="1180"/>
      <c r="Z44" s="1180"/>
      <c r="AA44" s="1180"/>
      <c r="AB44" s="1181"/>
      <c r="AC44" s="1182"/>
      <c r="AD44" s="1183"/>
      <c r="AE44" s="1183"/>
      <c r="AF44" s="1183"/>
      <c r="AG44" s="1183"/>
      <c r="AH44" s="1183"/>
      <c r="AI44" s="1183"/>
      <c r="AJ44" s="1184"/>
      <c r="AK44" s="299" t="s">
        <v>485</v>
      </c>
      <c r="AN44" s="87" t="str">
        <f t="shared" si="1"/>
        <v>Наименование признака дифференциации</v>
      </c>
      <c r="AQ44" s="17">
        <v>23</v>
      </c>
    </row>
    <row r="45" spans="1:43" ht="24" customHeight="1">
      <c r="A45" s="353" t="s">
        <v>272</v>
      </c>
      <c r="B45" s="353" t="s">
        <v>273</v>
      </c>
      <c r="C45" s="353" t="s">
        <v>274</v>
      </c>
      <c r="D45" s="353" t="s">
        <v>522</v>
      </c>
      <c r="E45" s="1112"/>
      <c r="F45" s="1112"/>
      <c r="G45" s="1112"/>
      <c r="H45" s="1112"/>
      <c r="I45" s="1114"/>
      <c r="J45" s="1113" t="str">
        <f>I44&amp;".1"</f>
        <v>...1.1</v>
      </c>
      <c r="L45" s="306" t="s">
        <v>407</v>
      </c>
      <c r="P45" s="964"/>
      <c r="Q45" s="1115">
        <v>1</v>
      </c>
      <c r="R45" s="309"/>
      <c r="S45" s="295" t="str">
        <f>$J45</f>
        <v>...1.1</v>
      </c>
      <c r="T45" s="310" t="s">
        <v>408</v>
      </c>
      <c r="U45" s="297"/>
      <c r="V45" s="1100"/>
      <c r="W45" s="1101"/>
      <c r="X45" s="1101"/>
      <c r="Y45" s="1101"/>
      <c r="Z45" s="1101"/>
      <c r="AA45" s="1101"/>
      <c r="AB45" s="1102"/>
      <c r="AC45" s="1100"/>
      <c r="AD45" s="1101"/>
      <c r="AE45" s="1101"/>
      <c r="AF45" s="1101"/>
      <c r="AG45" s="1101"/>
      <c r="AH45" s="1101"/>
      <c r="AI45" s="1101"/>
      <c r="AJ45" s="1102"/>
      <c r="AK45" s="386" t="s">
        <v>486</v>
      </c>
      <c r="AN45" s="87" t="str">
        <f t="shared" si="1"/>
        <v>Группа потребителей</v>
      </c>
      <c r="AQ45" s="17">
        <v>23</v>
      </c>
    </row>
    <row r="46" spans="1:43" ht="24" customHeight="1">
      <c r="A46" s="353" t="s">
        <v>272</v>
      </c>
      <c r="B46" s="353" t="s">
        <v>273</v>
      </c>
      <c r="C46" s="353" t="s">
        <v>274</v>
      </c>
      <c r="D46" s="353" t="s">
        <v>522</v>
      </c>
      <c r="E46" s="1112"/>
      <c r="F46" s="1112"/>
      <c r="G46" s="1112"/>
      <c r="H46" s="1112"/>
      <c r="I46" s="1114"/>
      <c r="J46" s="1114"/>
      <c r="K46" s="1113" t="str">
        <f>J45&amp;".1"</f>
        <v>...1.1.1</v>
      </c>
      <c r="P46" s="964"/>
      <c r="Q46" s="964"/>
      <c r="R46" s="309">
        <v>1</v>
      </c>
      <c r="S46" s="295" t="str">
        <f>$K46</f>
        <v>...1.1.1</v>
      </c>
      <c r="T46" s="426"/>
      <c r="U46" s="297"/>
      <c r="V46" s="330"/>
      <c r="W46" s="330"/>
      <c r="X46" s="331"/>
      <c r="Y46" s="1110"/>
      <c r="Z46" s="1109" t="s">
        <v>66</v>
      </c>
      <c r="AA46" s="1110"/>
      <c r="AB46" s="1109" t="s">
        <v>66</v>
      </c>
      <c r="AC46" s="312"/>
      <c r="AD46" s="312"/>
      <c r="AE46" s="314"/>
      <c r="AF46" s="1116"/>
      <c r="AG46" s="1004" t="s">
        <v>66</v>
      </c>
      <c r="AH46" s="1118"/>
      <c r="AI46" s="1004" t="s">
        <v>19</v>
      </c>
      <c r="AJ46" s="427"/>
      <c r="AK46"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 t="e">
        <f ca="1">STRCHECKDATE(V47:AJ47)</f>
        <v>#NAME?</v>
      </c>
      <c r="AN46" s="87" t="str">
        <f t="shared" si="1"/>
        <v/>
      </c>
      <c r="AQ46" s="17">
        <v>23</v>
      </c>
    </row>
    <row r="47" spans="1:43" ht="0" hidden="1" customHeight="1">
      <c r="A47" s="353" t="s">
        <v>272</v>
      </c>
      <c r="B47" s="353" t="s">
        <v>273</v>
      </c>
      <c r="C47" s="353" t="s">
        <v>274</v>
      </c>
      <c r="D47" s="353" t="s">
        <v>522</v>
      </c>
      <c r="E47" s="1112"/>
      <c r="F47" s="1112"/>
      <c r="G47" s="1112"/>
      <c r="H47" s="1112"/>
      <c r="I47" s="1114"/>
      <c r="J47" s="1114"/>
      <c r="K47" s="1113"/>
      <c r="P47" s="964"/>
      <c r="Q47" s="964"/>
      <c r="R47" s="309"/>
      <c r="S47" s="278"/>
      <c r="T47" s="297"/>
      <c r="U47" s="297"/>
      <c r="V47" s="330"/>
      <c r="W47" s="330"/>
      <c r="X47" s="316" t="str">
        <f>Y46&amp;"-"&amp;AA46</f>
        <v>-</v>
      </c>
      <c r="Y47" s="1109"/>
      <c r="Z47" s="1109"/>
      <c r="AA47" s="1109"/>
      <c r="AB47" s="1109"/>
      <c r="AC47" s="313"/>
      <c r="AD47" s="313"/>
      <c r="AE47" s="316" t="str">
        <f>AF46&amp;"-"&amp;AH46</f>
        <v>-</v>
      </c>
      <c r="AF47" s="1117"/>
      <c r="AG47" s="1004"/>
      <c r="AH47" s="1119"/>
      <c r="AI47" s="1004"/>
      <c r="AJ47" s="428"/>
      <c r="AK47" s="1185"/>
      <c r="AN47" s="87" t="str">
        <f t="shared" si="1"/>
        <v/>
      </c>
      <c r="AQ47" s="17">
        <v>0</v>
      </c>
    </row>
    <row r="48" spans="1:43" ht="21" customHeight="1">
      <c r="A48" s="353" t="s">
        <v>272</v>
      </c>
      <c r="B48" s="353" t="s">
        <v>273</v>
      </c>
      <c r="C48" s="353" t="s">
        <v>274</v>
      </c>
      <c r="D48" s="353" t="s">
        <v>522</v>
      </c>
      <c r="E48" s="1112"/>
      <c r="F48" s="1112"/>
      <c r="G48" s="1112"/>
      <c r="H48" s="1112"/>
      <c r="I48" s="1114"/>
      <c r="J48" s="1113"/>
      <c r="P48" s="964"/>
      <c r="Q48" s="964"/>
      <c r="R48" s="307"/>
      <c r="S48" s="318"/>
      <c r="T48" s="321" t="s">
        <v>487</v>
      </c>
      <c r="U48" s="117"/>
      <c r="V48" s="117"/>
      <c r="W48" s="117"/>
      <c r="X48" s="117"/>
      <c r="Y48" s="117"/>
      <c r="Z48" s="117"/>
      <c r="AA48" s="117"/>
      <c r="AB48" s="117"/>
      <c r="AC48" s="117"/>
      <c r="AD48" s="117"/>
      <c r="AE48" s="117"/>
      <c r="AF48" s="117"/>
      <c r="AG48" s="117"/>
      <c r="AH48" s="117"/>
      <c r="AI48" s="117"/>
      <c r="AJ48" s="117"/>
      <c r="AK48" s="299" t="s">
        <v>488</v>
      </c>
      <c r="AN48" s="87" t="str">
        <f t="shared" si="1"/>
        <v>Добавить значение признака дифференциации</v>
      </c>
      <c r="AQ48" s="17">
        <v>20</v>
      </c>
    </row>
    <row r="49" spans="1:43" ht="21.95" customHeight="1">
      <c r="A49" s="353" t="s">
        <v>272</v>
      </c>
      <c r="B49" s="353" t="s">
        <v>273</v>
      </c>
      <c r="C49" s="353" t="s">
        <v>274</v>
      </c>
      <c r="D49" s="353" t="s">
        <v>522</v>
      </c>
      <c r="E49" s="1112"/>
      <c r="F49" s="1112"/>
      <c r="G49" s="1112"/>
      <c r="H49" s="1112"/>
      <c r="I49" s="1113"/>
      <c r="P49" s="964"/>
      <c r="R49" s="307"/>
      <c r="S49" s="318"/>
      <c r="T49" s="324" t="s">
        <v>413</v>
      </c>
      <c r="U49" s="117"/>
      <c r="V49" s="117"/>
      <c r="W49" s="117"/>
      <c r="X49" s="117"/>
      <c r="Y49" s="117"/>
      <c r="Z49" s="117"/>
      <c r="AA49" s="117"/>
      <c r="AB49" s="322"/>
      <c r="AC49" s="117"/>
      <c r="AD49" s="117"/>
      <c r="AE49" s="117"/>
      <c r="AF49" s="117"/>
      <c r="AG49" s="117"/>
      <c r="AH49" s="117"/>
      <c r="AI49" s="322"/>
      <c r="AJ49" s="117"/>
      <c r="AK49" s="429"/>
      <c r="AN49" s="87" t="str">
        <f t="shared" si="1"/>
        <v>Добавить группу потребителей</v>
      </c>
      <c r="AQ49" s="17">
        <v>21</v>
      </c>
    </row>
    <row r="50" spans="1:43" ht="21.95" customHeight="1">
      <c r="A50" s="353" t="s">
        <v>272</v>
      </c>
      <c r="B50" s="353" t="s">
        <v>273</v>
      </c>
      <c r="C50" s="353" t="s">
        <v>274</v>
      </c>
      <c r="D50" s="353" t="s">
        <v>522</v>
      </c>
      <c r="E50" s="1112"/>
      <c r="F50" s="1112"/>
      <c r="G50" s="1112"/>
      <c r="H50" s="1111"/>
      <c r="R50" s="294"/>
      <c r="S50" s="318"/>
      <c r="T50" s="430" t="s">
        <v>489</v>
      </c>
      <c r="U50" s="117"/>
      <c r="V50" s="117"/>
      <c r="W50" s="117"/>
      <c r="X50" s="117"/>
      <c r="Y50" s="117"/>
      <c r="Z50" s="117"/>
      <c r="AA50" s="117"/>
      <c r="AB50" s="322"/>
      <c r="AC50" s="117"/>
      <c r="AD50" s="117"/>
      <c r="AE50" s="117"/>
      <c r="AF50" s="117"/>
      <c r="AG50" s="117"/>
      <c r="AH50" s="117"/>
      <c r="AI50" s="322"/>
      <c r="AJ50" s="117"/>
      <c r="AK50" s="323"/>
      <c r="AN50" s="87" t="str">
        <f t="shared" si="1"/>
        <v>Добавить наименование признака дифференциации</v>
      </c>
      <c r="AQ50" s="17">
        <v>21</v>
      </c>
    </row>
    <row r="51" spans="1:43" ht="0" hidden="1" customHeight="1">
      <c r="A51" s="72" t="s">
        <v>272</v>
      </c>
      <c r="B51" s="72" t="s">
        <v>273</v>
      </c>
      <c r="E51" s="1112"/>
      <c r="F51" s="1111"/>
      <c r="T51" s="329" t="s">
        <v>416</v>
      </c>
      <c r="AN51" s="87" t="str">
        <f t="shared" si="1"/>
        <v>Добавить централизованную систему для дифференциации</v>
      </c>
      <c r="AQ51" s="75">
        <v>0</v>
      </c>
    </row>
    <row r="52" spans="1:43" ht="0" hidden="1" customHeight="1">
      <c r="A52" s="72" t="s">
        <v>272</v>
      </c>
      <c r="E52" s="1111"/>
      <c r="T52" s="329" t="s">
        <v>417</v>
      </c>
      <c r="AN52" s="87" t="str">
        <f t="shared" si="1"/>
        <v>Добавить территорию для дифференциации</v>
      </c>
      <c r="AQ52" s="75">
        <v>0</v>
      </c>
    </row>
    <row r="53" spans="1:43" ht="0" hidden="1" customHeight="1">
      <c r="T53" s="329" t="s">
        <v>449</v>
      </c>
      <c r="AN53" s="87" t="str">
        <f t="shared" si="1"/>
        <v>Добавить наименование тарифа</v>
      </c>
      <c r="AQ53" s="75">
        <v>0</v>
      </c>
    </row>
    <row r="54" spans="1:43" ht="11.45" customHeight="1">
      <c r="AQ54" s="17">
        <v>11</v>
      </c>
    </row>
    <row r="55" spans="1:43" ht="14.65" customHeight="1">
      <c r="T55" s="964"/>
      <c r="U55" s="964"/>
      <c r="V55" s="964"/>
      <c r="W55" s="964"/>
      <c r="X55" s="964"/>
      <c r="Y55" s="964"/>
      <c r="Z55" s="964"/>
      <c r="AA55" s="964"/>
      <c r="AB55" s="964"/>
      <c r="AC55" s="964"/>
      <c r="AD55" s="964"/>
      <c r="AE55" s="964"/>
      <c r="AF55" s="964"/>
      <c r="AG55" s="964"/>
      <c r="AH55" s="964"/>
      <c r="AI55" s="964"/>
      <c r="AJ55" s="964"/>
      <c r="AK55" s="964"/>
      <c r="AQ55" s="17">
        <v>14</v>
      </c>
    </row>
    <row r="56" spans="1:43" ht="14.65" customHeight="1">
      <c r="AQ56" s="17">
        <v>14</v>
      </c>
    </row>
    <row r="57" spans="1:43" ht="14.65" customHeight="1">
      <c r="T57" s="964"/>
      <c r="U57" s="964"/>
      <c r="V57" s="964"/>
      <c r="W57" s="964"/>
      <c r="X57" s="964"/>
      <c r="Y57" s="964"/>
      <c r="Z57" s="964"/>
      <c r="AA57" s="964"/>
      <c r="AB57" s="964"/>
      <c r="AC57" s="964"/>
      <c r="AD57" s="964"/>
      <c r="AE57" s="964"/>
      <c r="AF57" s="964"/>
      <c r="AG57" s="964"/>
      <c r="AH57" s="964"/>
      <c r="AI57" s="964"/>
      <c r="AJ57" s="964"/>
      <c r="AK57" s="964"/>
      <c r="AQ57" s="17">
        <v>14</v>
      </c>
    </row>
    <row r="58" spans="1:43" ht="22.5" hidden="1" customHeight="1">
      <c r="A58" s="37" t="s">
        <v>82</v>
      </c>
      <c r="B58" s="37">
        <v>0</v>
      </c>
      <c r="C58" s="37">
        <v>0</v>
      </c>
      <c r="D58" s="37">
        <v>0</v>
      </c>
      <c r="E58" s="37">
        <v>0</v>
      </c>
      <c r="F58" s="37">
        <v>0</v>
      </c>
      <c r="G58" s="37">
        <v>0</v>
      </c>
      <c r="H58" s="37">
        <v>0</v>
      </c>
      <c r="I58" s="37">
        <v>0</v>
      </c>
      <c r="J58" s="37">
        <v>0</v>
      </c>
      <c r="K58" s="37">
        <v>0</v>
      </c>
      <c r="L58" s="240">
        <v>0</v>
      </c>
      <c r="M58" s="41">
        <v>0</v>
      </c>
      <c r="N58" s="41">
        <v>0</v>
      </c>
      <c r="O58" s="41">
        <v>0</v>
      </c>
      <c r="P58" s="356">
        <v>3</v>
      </c>
      <c r="Q58" s="357">
        <v>3</v>
      </c>
      <c r="R58" s="357">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5">
        <v>10</v>
      </c>
      <c r="AM58" s="75">
        <v>10</v>
      </c>
      <c r="AN58" s="75">
        <v>10</v>
      </c>
      <c r="AO58" s="75">
        <v>10</v>
      </c>
      <c r="AP58" s="75">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D5DD2-D8D6-6112-7765-4FF48C793FE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c r="BI1" s="17" t="s">
        <v>14</v>
      </c>
    </row>
    <row r="2" spans="5:61" ht="21" hidden="1" customHeight="1">
      <c r="E2" s="1111">
        <v>1</v>
      </c>
      <c r="R2" s="294"/>
      <c r="S2" s="295" t="e">
        <f>INDEX(PT_DIFFERENTIATION_NUM_NTAR,MATCH(A2,PT_DIFFERENTIATION_NTAR_ID,0))</f>
        <v>#N/A</v>
      </c>
      <c r="T2" s="296" t="s">
        <v>126</v>
      </c>
      <c r="U2" s="297"/>
      <c r="V2" s="1107"/>
      <c r="W2" s="1107"/>
      <c r="X2" s="1107"/>
      <c r="Y2" s="1107"/>
      <c r="Z2" s="1107"/>
      <c r="AA2" s="1107"/>
      <c r="AB2" s="1107"/>
      <c r="AC2" s="1108"/>
      <c r="AD2" s="1106" t="e">
        <f>INDEX(PT_DIFFERENTIATION_NTAR,MATCH(A2,PT_DIFFERENTIATION_NTAR_ID,0))</f>
        <v>#N/A</v>
      </c>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8"/>
      <c r="BC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87" t="str">
        <f t="shared" ref="BF2:BF8" si="0">IF(T2="","",T2)</f>
        <v>Наименование тарифа</v>
      </c>
      <c r="BI2" s="17">
        <v>0</v>
      </c>
    </row>
    <row r="3" spans="5:61" ht="21" hidden="1" customHeight="1">
      <c r="E3" s="1112"/>
      <c r="F3" s="1111">
        <v>1</v>
      </c>
      <c r="Q3" s="397"/>
      <c r="R3" s="301"/>
      <c r="S3" s="295" t="e">
        <f>INDEX(PT_DIFFERENTIATION_NUM_TER,MATCH(B3,PT_DIFFERENTIATION_TER_ID,0))</f>
        <v>#N/A</v>
      </c>
      <c r="T3" s="302" t="s">
        <v>398</v>
      </c>
      <c r="U3" s="297"/>
      <c r="V3" s="1107"/>
      <c r="W3" s="1107"/>
      <c r="X3" s="1107"/>
      <c r="Y3" s="1107"/>
      <c r="Z3" s="1107"/>
      <c r="AA3" s="1107"/>
      <c r="AB3" s="1107"/>
      <c r="AC3" s="1108"/>
      <c r="AD3" s="1106" t="e">
        <f>INDEX(PT_DIFFERENTIATION_TER,MATCH(B3,PT_DIFFERENTIATION_TER_ID,0))</f>
        <v>#N/A</v>
      </c>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8"/>
      <c r="BC3" s="299" t="s">
        <v>399</v>
      </c>
      <c r="BF3" s="87" t="str">
        <f t="shared" si="0"/>
        <v>Территория действия тарифа</v>
      </c>
      <c r="BI3" s="17">
        <v>0</v>
      </c>
    </row>
    <row r="4" spans="5:61" ht="33.75" hidden="1" customHeight="1">
      <c r="E4" s="1112"/>
      <c r="F4" s="1112"/>
      <c r="G4" s="1111">
        <v>1</v>
      </c>
      <c r="Q4" s="397"/>
      <c r="R4" s="301"/>
      <c r="S4" s="295" t="e">
        <f>INDEX(PT_DIFFERENTIATION_NUM_CS,MATCH(C4,PT_DIFFERENTIATION_CS_ID,0))</f>
        <v>#N/A</v>
      </c>
      <c r="T4" s="303" t="s">
        <v>517</v>
      </c>
      <c r="U4" s="297"/>
      <c r="V4" s="1107"/>
      <c r="W4" s="1107"/>
      <c r="X4" s="1107"/>
      <c r="Y4" s="1107"/>
      <c r="Z4" s="1107"/>
      <c r="AA4" s="1107"/>
      <c r="AB4" s="1107"/>
      <c r="AC4" s="1108"/>
      <c r="AD4" s="1106" t="e">
        <f>INDEX(PT_DIFFERENTIATION_CS,MATCH(C4,PT_DIFFERENTIATION_CS_ID,0))</f>
        <v>#N/A</v>
      </c>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8"/>
      <c r="BC4" s="299" t="s">
        <v>518</v>
      </c>
      <c r="BF4" s="87" t="str">
        <f t="shared" si="0"/>
        <v>Наименование централизованной системы водоотведения</v>
      </c>
      <c r="BI4" s="17">
        <v>0</v>
      </c>
    </row>
    <row r="5" spans="5:61" ht="14.25" hidden="1" customHeight="1">
      <c r="E5" s="1112"/>
      <c r="F5" s="1112"/>
      <c r="G5" s="1112"/>
      <c r="H5" s="1111">
        <v>1</v>
      </c>
      <c r="Q5" s="435"/>
      <c r="R5" s="309"/>
      <c r="S5" s="193"/>
      <c r="T5" s="436"/>
      <c r="U5" s="364"/>
      <c r="V5" s="1143"/>
      <c r="W5" s="1143"/>
      <c r="X5" s="1143"/>
      <c r="Y5" s="1143"/>
      <c r="Z5" s="1143"/>
      <c r="AA5" s="1143"/>
      <c r="AB5" s="1143"/>
      <c r="AC5" s="1144"/>
      <c r="AD5" s="1142"/>
      <c r="AE5" s="1143"/>
      <c r="AF5" s="1143"/>
      <c r="AG5" s="1143"/>
      <c r="AH5" s="1143"/>
      <c r="AI5" s="1143"/>
      <c r="AJ5" s="1143"/>
      <c r="AK5" s="1143"/>
      <c r="AL5" s="1143"/>
      <c r="AM5" s="1143"/>
      <c r="AN5" s="1143"/>
      <c r="AO5" s="1143"/>
      <c r="AP5" s="1143"/>
      <c r="AQ5" s="1143"/>
      <c r="AR5" s="1143"/>
      <c r="AS5" s="1143"/>
      <c r="AT5" s="1143"/>
      <c r="AU5" s="1143"/>
      <c r="AV5" s="1143"/>
      <c r="AW5" s="1143"/>
      <c r="AX5" s="1143"/>
      <c r="AY5" s="1143"/>
      <c r="AZ5" s="1143"/>
      <c r="BA5" s="1143"/>
      <c r="BB5" s="1144"/>
      <c r="BC5" s="366" t="s">
        <v>403</v>
      </c>
      <c r="BF5" s="87" t="str">
        <f t="shared" si="0"/>
        <v/>
      </c>
      <c r="BI5" s="75">
        <v>0</v>
      </c>
    </row>
    <row r="6" spans="5:61" ht="14.25" hidden="1" customHeight="1">
      <c r="E6" s="1112"/>
      <c r="F6" s="1112"/>
      <c r="G6" s="1112"/>
      <c r="H6" s="1112"/>
      <c r="I6" s="1113" t="str">
        <f>S5&amp;".1"</f>
        <v>.1</v>
      </c>
      <c r="L6" s="371" t="s">
        <v>404</v>
      </c>
      <c r="P6" s="1115">
        <v>1</v>
      </c>
      <c r="R6" s="307"/>
      <c r="S6" s="193"/>
      <c r="T6" s="363"/>
      <c r="U6" s="364"/>
      <c r="V6" s="1143"/>
      <c r="W6" s="1143"/>
      <c r="X6" s="1143"/>
      <c r="Y6" s="1143"/>
      <c r="Z6" s="1143"/>
      <c r="AA6" s="1143"/>
      <c r="AB6" s="1143"/>
      <c r="AC6" s="1144"/>
      <c r="AD6" s="1142"/>
      <c r="AE6" s="1143"/>
      <c r="AF6" s="1143"/>
      <c r="AG6" s="1143"/>
      <c r="AH6" s="1143"/>
      <c r="AI6" s="1143"/>
      <c r="AJ6" s="1143"/>
      <c r="AK6" s="1143"/>
      <c r="AL6" s="1143"/>
      <c r="AM6" s="1143"/>
      <c r="AN6" s="1143"/>
      <c r="AO6" s="1143"/>
      <c r="AP6" s="1143"/>
      <c r="AQ6" s="1143"/>
      <c r="AR6" s="1143"/>
      <c r="AS6" s="1143"/>
      <c r="AT6" s="1143"/>
      <c r="AU6" s="1143"/>
      <c r="AV6" s="1143"/>
      <c r="AW6" s="1143"/>
      <c r="AX6" s="1143"/>
      <c r="AY6" s="1143"/>
      <c r="AZ6" s="1143"/>
      <c r="BA6" s="1143"/>
      <c r="BB6" s="1144"/>
      <c r="BC6" s="366"/>
      <c r="BF6" s="87" t="str">
        <f t="shared" si="0"/>
        <v/>
      </c>
      <c r="BI6" s="75">
        <v>0</v>
      </c>
    </row>
    <row r="7" spans="5:61" ht="14.25" hidden="1" customHeight="1">
      <c r="E7" s="1112"/>
      <c r="F7" s="1112"/>
      <c r="G7" s="1112"/>
      <c r="H7" s="1112"/>
      <c r="I7" s="1114"/>
      <c r="J7" s="1113" t="str">
        <f>S5&amp;".1"</f>
        <v>.1</v>
      </c>
      <c r="P7" s="964"/>
      <c r="Q7" s="1115">
        <v>1</v>
      </c>
      <c r="R7" s="309"/>
      <c r="S7" s="193"/>
      <c r="T7" s="398"/>
      <c r="U7" s="364"/>
      <c r="V7" s="1143"/>
      <c r="W7" s="1143"/>
      <c r="X7" s="1143"/>
      <c r="Y7" s="1143"/>
      <c r="Z7" s="1143"/>
      <c r="AA7" s="1143"/>
      <c r="AB7" s="1143"/>
      <c r="AC7" s="1144"/>
      <c r="AD7" s="1142"/>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4"/>
      <c r="BC7" s="366"/>
      <c r="BF7" s="87" t="str">
        <f t="shared" si="0"/>
        <v/>
      </c>
      <c r="BI7" s="75">
        <v>0</v>
      </c>
    </row>
    <row r="8" spans="5:61" ht="11.25" hidden="1" customHeight="1">
      <c r="E8" s="1112"/>
      <c r="F8" s="1112"/>
      <c r="G8" s="1112"/>
      <c r="H8" s="1112"/>
      <c r="I8" s="1114"/>
      <c r="J8" s="1114"/>
      <c r="K8" s="1113" t="e">
        <f>S4&amp;".1"</f>
        <v>#N/A</v>
      </c>
      <c r="P8" s="964"/>
      <c r="Q8" s="964"/>
      <c r="R8" s="1171">
        <v>1</v>
      </c>
      <c r="S8" s="1168" t="e">
        <f>$K8</f>
        <v>#N/A</v>
      </c>
      <c r="T8" s="1188"/>
      <c r="U8" s="297"/>
      <c r="V8" s="312"/>
      <c r="W8" s="314"/>
      <c r="X8" s="312"/>
      <c r="Y8" s="314"/>
      <c r="Z8" s="315"/>
      <c r="AA8" s="122" t="s">
        <v>66</v>
      </c>
      <c r="AB8" s="315"/>
      <c r="AC8" s="122" t="s">
        <v>66</v>
      </c>
      <c r="AD8" s="1059" t="s">
        <v>66</v>
      </c>
      <c r="AE8" s="1164"/>
      <c r="AF8" s="1069">
        <v>1</v>
      </c>
      <c r="AG8" s="1187"/>
      <c r="AH8" s="1004" t="s">
        <v>66</v>
      </c>
      <c r="AI8" s="1164"/>
      <c r="AJ8" s="1069">
        <v>1</v>
      </c>
      <c r="AK8" s="1178" t="s">
        <v>22</v>
      </c>
      <c r="AL8" s="1004" t="s">
        <v>66</v>
      </c>
      <c r="AM8" s="1047"/>
      <c r="AN8" s="1069">
        <v>1</v>
      </c>
      <c r="AO8" s="1191"/>
      <c r="AP8" s="1192" t="s">
        <v>66</v>
      </c>
      <c r="AQ8" s="401"/>
      <c r="AR8" s="187">
        <v>1</v>
      </c>
      <c r="AS8" s="43" t="s">
        <v>22</v>
      </c>
      <c r="AT8" s="312"/>
      <c r="AU8" s="314"/>
      <c r="AV8" s="312"/>
      <c r="AW8" s="314"/>
      <c r="AX8" s="315"/>
      <c r="AY8" s="122" t="s">
        <v>66</v>
      </c>
      <c r="AZ8" s="315"/>
      <c r="BA8" s="122" t="s">
        <v>66</v>
      </c>
      <c r="BB8" s="354"/>
      <c r="BC8" s="1134" t="s">
        <v>502</v>
      </c>
      <c r="BF8" s="87" t="str">
        <f t="shared" si="0"/>
        <v/>
      </c>
      <c r="BI8" s="17">
        <v>0</v>
      </c>
    </row>
    <row r="9" spans="5:61" ht="11.25" hidden="1" customHeight="1">
      <c r="E9" s="1112"/>
      <c r="F9" s="1112"/>
      <c r="G9" s="1112"/>
      <c r="H9" s="1112"/>
      <c r="I9" s="1114"/>
      <c r="J9" s="1114"/>
      <c r="K9" s="1113"/>
      <c r="P9" s="964"/>
      <c r="Q9" s="964"/>
      <c r="R9" s="1171"/>
      <c r="S9" s="1169"/>
      <c r="T9" s="1189"/>
      <c r="U9" s="297"/>
      <c r="V9" s="391"/>
      <c r="W9" s="404"/>
      <c r="X9" s="391"/>
      <c r="Y9" s="404"/>
      <c r="Z9" s="391"/>
      <c r="AA9" s="391"/>
      <c r="AB9" s="391"/>
      <c r="AC9" s="391"/>
      <c r="AD9" s="1060"/>
      <c r="AE9" s="1164"/>
      <c r="AF9" s="1069"/>
      <c r="AG9" s="1187"/>
      <c r="AH9" s="1004"/>
      <c r="AI9" s="1164"/>
      <c r="AJ9" s="1069"/>
      <c r="AK9" s="1178"/>
      <c r="AL9" s="1004"/>
      <c r="AM9" s="1052"/>
      <c r="AN9" s="1069"/>
      <c r="AO9" s="1191"/>
      <c r="AP9" s="1193"/>
      <c r="AQ9" s="403"/>
      <c r="AR9" s="105"/>
      <c r="AS9" s="105" t="s">
        <v>503</v>
      </c>
      <c r="AT9" s="391"/>
      <c r="AU9" s="404"/>
      <c r="AV9" s="391"/>
      <c r="AW9" s="404"/>
      <c r="AX9" s="391"/>
      <c r="AY9" s="391"/>
      <c r="AZ9" s="391"/>
      <c r="BA9" s="391"/>
      <c r="BB9" s="402"/>
      <c r="BC9" s="1135"/>
      <c r="BI9" s="17">
        <v>0</v>
      </c>
    </row>
    <row r="10" spans="5:61" ht="11.25" hidden="1" customHeight="1">
      <c r="E10" s="1112"/>
      <c r="F10" s="1112"/>
      <c r="G10" s="1112"/>
      <c r="H10" s="1112"/>
      <c r="I10" s="1114"/>
      <c r="J10" s="1114"/>
      <c r="K10" s="1113"/>
      <c r="P10" s="964"/>
      <c r="Q10" s="964"/>
      <c r="R10" s="1171"/>
      <c r="S10" s="1169"/>
      <c r="T10" s="1189"/>
      <c r="U10" s="297"/>
      <c r="V10" s="391"/>
      <c r="W10" s="404"/>
      <c r="X10" s="391"/>
      <c r="Y10" s="404"/>
      <c r="Z10" s="391"/>
      <c r="AA10" s="391"/>
      <c r="AB10" s="391"/>
      <c r="AC10" s="391"/>
      <c r="AD10" s="1060"/>
      <c r="AE10" s="1164"/>
      <c r="AF10" s="1069"/>
      <c r="AG10" s="1187"/>
      <c r="AH10" s="1004"/>
      <c r="AI10" s="1164"/>
      <c r="AJ10" s="1069"/>
      <c r="AK10" s="1178"/>
      <c r="AL10" s="1004"/>
      <c r="AM10" s="403"/>
      <c r="AN10" s="437"/>
      <c r="AO10" s="437" t="s">
        <v>523</v>
      </c>
      <c r="AP10" s="105"/>
      <c r="AQ10" s="105"/>
      <c r="AR10" s="105"/>
      <c r="AS10" s="391"/>
      <c r="AT10" s="391"/>
      <c r="AU10" s="404"/>
      <c r="AV10" s="391"/>
      <c r="AW10" s="404"/>
      <c r="AX10" s="391"/>
      <c r="AY10" s="391"/>
      <c r="AZ10" s="391"/>
      <c r="BA10" s="391"/>
      <c r="BB10" s="402"/>
      <c r="BC10" s="1135"/>
      <c r="BI10" s="17">
        <v>0</v>
      </c>
    </row>
    <row r="11" spans="5:61" ht="11.25" hidden="1" customHeight="1">
      <c r="E11" s="1112"/>
      <c r="F11" s="1112"/>
      <c r="G11" s="1112"/>
      <c r="H11" s="1112"/>
      <c r="I11" s="1114"/>
      <c r="J11" s="1114"/>
      <c r="K11" s="1113"/>
      <c r="P11" s="964"/>
      <c r="Q11" s="964"/>
      <c r="R11" s="1171"/>
      <c r="S11" s="1169"/>
      <c r="T11" s="1189"/>
      <c r="U11" s="297"/>
      <c r="V11" s="391"/>
      <c r="W11" s="404"/>
      <c r="X11" s="391"/>
      <c r="Y11" s="404"/>
      <c r="Z11" s="391"/>
      <c r="AA11" s="391"/>
      <c r="AB11" s="391"/>
      <c r="AC11" s="391"/>
      <c r="AD11" s="1060"/>
      <c r="AE11" s="1164"/>
      <c r="AF11" s="1069"/>
      <c r="AG11" s="1187"/>
      <c r="AH11" s="1004"/>
      <c r="AI11" s="406"/>
      <c r="AJ11" s="100"/>
      <c r="AK11" s="269" t="s">
        <v>524</v>
      </c>
      <c r="AL11" s="391"/>
      <c r="AM11" s="391"/>
      <c r="AN11" s="391"/>
      <c r="AO11" s="391"/>
      <c r="AP11" s="391"/>
      <c r="AQ11" s="391"/>
      <c r="AR11" s="391"/>
      <c r="AS11" s="391"/>
      <c r="AT11" s="391"/>
      <c r="AU11" s="404"/>
      <c r="AV11" s="391"/>
      <c r="AW11" s="404"/>
      <c r="AX11" s="391"/>
      <c r="AY11" s="391"/>
      <c r="AZ11" s="391"/>
      <c r="BA11" s="391"/>
      <c r="BB11" s="402"/>
      <c r="BC11" s="1135"/>
      <c r="BI11" s="17">
        <v>0</v>
      </c>
    </row>
    <row r="12" spans="5:61" ht="11.25" hidden="1" customHeight="1">
      <c r="E12" s="1112"/>
      <c r="F12" s="1112"/>
      <c r="G12" s="1112"/>
      <c r="H12" s="1112"/>
      <c r="I12" s="1114"/>
      <c r="J12" s="1114"/>
      <c r="K12" s="1113"/>
      <c r="P12" s="964"/>
      <c r="Q12" s="964"/>
      <c r="R12" s="1171"/>
      <c r="S12" s="1170"/>
      <c r="T12" s="1190"/>
      <c r="U12" s="297"/>
      <c r="V12" s="391"/>
      <c r="W12" s="392" t="str">
        <f>Z8&amp;"-"&amp;AB8</f>
        <v>-</v>
      </c>
      <c r="X12" s="391"/>
      <c r="Y12" s="392" t="str">
        <f>AB8&amp;"-"&amp;AD8</f>
        <v>-да</v>
      </c>
      <c r="Z12" s="391"/>
      <c r="AA12" s="391"/>
      <c r="AB12" s="391"/>
      <c r="AC12" s="391"/>
      <c r="AD12" s="1009"/>
      <c r="AE12" s="408"/>
      <c r="AF12" s="409"/>
      <c r="AG12" s="105" t="s">
        <v>506</v>
      </c>
      <c r="AH12" s="391"/>
      <c r="AI12" s="391"/>
      <c r="AJ12" s="391"/>
      <c r="AK12" s="391"/>
      <c r="AL12" s="391"/>
      <c r="AM12" s="391"/>
      <c r="AN12" s="391"/>
      <c r="AO12" s="391"/>
      <c r="AP12" s="391"/>
      <c r="AQ12" s="391"/>
      <c r="AR12" s="391"/>
      <c r="AS12" s="391"/>
      <c r="AT12" s="391"/>
      <c r="AU12" s="392" t="str">
        <f>AX8&amp;"-"&amp;AZ8</f>
        <v>-</v>
      </c>
      <c r="AV12" s="391"/>
      <c r="AW12" s="392" t="str">
        <f>AZ8&amp;"-"&amp;BB8</f>
        <v>-</v>
      </c>
      <c r="AX12" s="391"/>
      <c r="AY12" s="391"/>
      <c r="AZ12" s="391"/>
      <c r="BA12" s="391"/>
      <c r="BB12" s="407" t="str">
        <f>BE8&amp;"-"&amp;BG8</f>
        <v>-</v>
      </c>
      <c r="BC12" s="1135"/>
      <c r="BF12" s="87" t="str">
        <f t="shared" ref="BF12:BF18" si="1">IF(T12="","",T12)</f>
        <v/>
      </c>
      <c r="BI12" s="17">
        <v>0</v>
      </c>
    </row>
    <row r="13" spans="5:61" ht="11.25" hidden="1" customHeight="1">
      <c r="E13" s="1112"/>
      <c r="F13" s="1112"/>
      <c r="G13" s="1112"/>
      <c r="H13" s="1112"/>
      <c r="I13" s="1114"/>
      <c r="J13" s="1113"/>
      <c r="P13" s="964"/>
      <c r="Q13" s="964"/>
      <c r="R13" s="307"/>
      <c r="S13" s="318"/>
      <c r="T13" s="321" t="s">
        <v>469</v>
      </c>
      <c r="U13" s="117"/>
      <c r="V13" s="117"/>
      <c r="W13" s="117"/>
      <c r="X13" s="117"/>
      <c r="Y13" s="117"/>
      <c r="Z13" s="117"/>
      <c r="AA13" s="117"/>
      <c r="AB13" s="117"/>
      <c r="AC13" s="117"/>
      <c r="AD13" s="422"/>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320"/>
      <c r="BC13" s="1136"/>
      <c r="BF13" s="87" t="str">
        <f t="shared" si="1"/>
        <v>Добавить строку</v>
      </c>
      <c r="BI13" s="17">
        <v>0</v>
      </c>
    </row>
    <row r="14" spans="5:61" ht="14.25" hidden="1" customHeight="1">
      <c r="E14" s="1112"/>
      <c r="F14" s="1112"/>
      <c r="G14" s="1112"/>
      <c r="H14" s="1112"/>
      <c r="I14" s="1113"/>
      <c r="P14" s="964"/>
      <c r="R14" s="307"/>
      <c r="S14" s="367"/>
      <c r="T14" s="368"/>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70"/>
      <c r="BF14" s="87" t="str">
        <f t="shared" si="1"/>
        <v/>
      </c>
      <c r="BI14" s="75">
        <v>0</v>
      </c>
    </row>
    <row r="15" spans="5:61" ht="14.25" hidden="1" customHeight="1">
      <c r="E15" s="1112"/>
      <c r="F15" s="1112"/>
      <c r="G15" s="1112"/>
      <c r="H15" s="1111"/>
      <c r="R15" s="410"/>
      <c r="S15" s="367"/>
      <c r="T15" s="368"/>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70"/>
      <c r="BF15" s="87" t="str">
        <f t="shared" si="1"/>
        <v/>
      </c>
      <c r="BI15" s="75">
        <v>0</v>
      </c>
    </row>
    <row r="16" spans="5:61" ht="14.25" hidden="1" customHeight="1">
      <c r="E16" s="1112"/>
      <c r="F16" s="1112"/>
      <c r="G16" s="1111"/>
      <c r="BF16" s="87" t="str">
        <f t="shared" si="1"/>
        <v/>
      </c>
      <c r="BI16" s="75">
        <v>0</v>
      </c>
    </row>
    <row r="17" spans="5:61" ht="14.25" hidden="1" customHeight="1">
      <c r="E17" s="1112"/>
      <c r="F17" s="1111"/>
      <c r="T17" s="329" t="s">
        <v>416</v>
      </c>
      <c r="BF17" s="87" t="str">
        <f t="shared" si="1"/>
        <v>Добавить централизованную систему для дифференциации</v>
      </c>
      <c r="BI17" s="75">
        <v>0</v>
      </c>
    </row>
    <row r="18" spans="5:61" ht="14.25" hidden="1" customHeight="1">
      <c r="E18" s="1111"/>
      <c r="T18" s="329" t="s">
        <v>417</v>
      </c>
      <c r="BF18" s="87" t="str">
        <f t="shared" si="1"/>
        <v>Добавить территорию для дифференциации</v>
      </c>
      <c r="BI18" s="75">
        <v>0</v>
      </c>
    </row>
    <row r="19" spans="5:61" ht="14.25" hidden="1" customHeight="1">
      <c r="BI19" s="17">
        <v>0</v>
      </c>
    </row>
    <row r="20" spans="5:61" ht="14.25" hidden="1" customHeight="1">
      <c r="AD20" s="411" t="s">
        <v>19</v>
      </c>
      <c r="AF20" s="411">
        <v>1</v>
      </c>
      <c r="AH20" s="411" t="s">
        <v>19</v>
      </c>
      <c r="AJ20" s="411">
        <v>1</v>
      </c>
      <c r="AL20" s="411" t="s">
        <v>19</v>
      </c>
      <c r="AN20" s="411">
        <v>1</v>
      </c>
      <c r="AP20" s="411" t="s">
        <v>19</v>
      </c>
      <c r="AR20" s="411">
        <v>1</v>
      </c>
      <c r="AT20" s="313"/>
      <c r="AU20" s="361"/>
      <c r="AV20" s="313"/>
      <c r="AW20" s="361"/>
      <c r="AX20" s="415"/>
      <c r="AY20" s="416" t="s">
        <v>66</v>
      </c>
      <c r="AZ20" s="415"/>
      <c r="BA20" s="416" t="s">
        <v>66</v>
      </c>
      <c r="BI20" s="17">
        <v>0</v>
      </c>
    </row>
    <row r="21" spans="5:61" ht="14.25" hidden="1" customHeight="1">
      <c r="BI21" s="17">
        <v>0</v>
      </c>
    </row>
    <row r="22" spans="5:61" ht="14.25" hidden="1" customHeight="1">
      <c r="O22" s="332" t="s">
        <v>418</v>
      </c>
      <c r="Z22" s="359"/>
      <c r="AB22" s="359"/>
      <c r="AX22" s="359"/>
      <c r="AZ22" s="359"/>
      <c r="BI22" s="17">
        <v>0</v>
      </c>
    </row>
    <row r="23" spans="5:61" ht="14.25" hidden="1" customHeight="1">
      <c r="BI23" s="17">
        <v>0</v>
      </c>
    </row>
    <row r="24" spans="5:61" ht="14.25" hidden="1" customHeight="1">
      <c r="O24" s="417" t="s">
        <v>419</v>
      </c>
      <c r="AA24" s="417" t="s">
        <v>421</v>
      </c>
      <c r="AC24" s="417" t="s">
        <v>422</v>
      </c>
      <c r="AD24" s="417" t="s">
        <v>470</v>
      </c>
      <c r="AH24" s="417" t="s">
        <v>470</v>
      </c>
      <c r="AK24" s="417" t="s">
        <v>507</v>
      </c>
      <c r="AL24" s="417" t="s">
        <v>470</v>
      </c>
      <c r="AP24" s="417" t="s">
        <v>470</v>
      </c>
      <c r="AY24" s="417" t="s">
        <v>421</v>
      </c>
      <c r="BA24" s="417" t="s">
        <v>422</v>
      </c>
      <c r="BI24" s="417">
        <v>0</v>
      </c>
    </row>
    <row r="25" spans="5:61" ht="14.25" hidden="1" customHeight="1">
      <c r="BI25" s="17">
        <v>0</v>
      </c>
    </row>
    <row r="26" spans="5:61" ht="14.25" hidden="1" customHeight="1">
      <c r="BI26" s="17">
        <v>0</v>
      </c>
    </row>
    <row r="27" spans="5:61" ht="14.65" customHeight="1">
      <c r="Q27" s="418"/>
      <c r="R27" s="333"/>
      <c r="S27" s="334"/>
      <c r="T27" s="38"/>
      <c r="U27" s="38"/>
      <c r="BI27" s="17">
        <v>14</v>
      </c>
    </row>
    <row r="28" spans="5:61" ht="14.65" customHeight="1">
      <c r="Q28" s="418"/>
      <c r="R28" s="333"/>
      <c r="S28" s="10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093"/>
      <c r="U28" s="1093"/>
      <c r="V28" s="1093"/>
      <c r="W28" s="1093"/>
      <c r="X28" s="1093"/>
      <c r="Y28" s="1093"/>
      <c r="Z28" s="1093"/>
      <c r="AA28" s="1093"/>
      <c r="AB28" s="1093"/>
      <c r="AC28" s="1093"/>
      <c r="AD28" s="1093"/>
      <c r="AE28" s="1093"/>
      <c r="AF28" s="1093"/>
      <c r="AG28" s="1093"/>
      <c r="AH28" s="1093"/>
      <c r="AI28" s="1093"/>
      <c r="AJ28" s="1093"/>
      <c r="AK28" s="1093"/>
      <c r="AL28" s="1093"/>
      <c r="AM28" s="1093"/>
      <c r="AN28" s="1093"/>
      <c r="AO28" s="1093"/>
      <c r="AP28" s="1093"/>
      <c r="AQ28" s="1093"/>
      <c r="AR28" s="1093"/>
      <c r="AS28" s="1093"/>
      <c r="AT28" s="1093"/>
      <c r="AU28" s="1093"/>
      <c r="AV28" s="1093"/>
      <c r="AW28" s="1093"/>
      <c r="AX28" s="1093"/>
      <c r="AY28" s="1093"/>
      <c r="AZ28" s="1093"/>
      <c r="BI28" s="17">
        <v>14</v>
      </c>
    </row>
    <row r="29" spans="5:61" ht="14.65" customHeight="1">
      <c r="Q29" s="418"/>
      <c r="R29" s="333"/>
      <c r="S29" s="1066" t="str">
        <f>IF(org=0,"Не определено",org)</f>
        <v>ООО "ТВС"</v>
      </c>
      <c r="T29" s="1066"/>
      <c r="U29" s="1066"/>
      <c r="V29" s="1066"/>
      <c r="W29" s="1066"/>
      <c r="X29" s="1066"/>
      <c r="Y29" s="1066"/>
      <c r="Z29" s="1066"/>
      <c r="AA29" s="1066"/>
      <c r="AB29" s="1066"/>
      <c r="AC29" s="1066"/>
      <c r="AD29" s="1066"/>
      <c r="AE29" s="1066"/>
      <c r="AF29" s="1066"/>
      <c r="AG29" s="1066"/>
      <c r="AH29" s="1066"/>
      <c r="AI29" s="1066"/>
      <c r="AJ29" s="1066"/>
      <c r="AK29" s="1066"/>
      <c r="AL29" s="1066"/>
      <c r="AM29" s="1066"/>
      <c r="AN29" s="1066"/>
      <c r="AO29" s="1066"/>
      <c r="AP29" s="1066"/>
      <c r="AQ29" s="1066"/>
      <c r="AR29" s="1066"/>
      <c r="AS29" s="1066"/>
      <c r="AT29" s="1066"/>
      <c r="AU29" s="1066"/>
      <c r="AV29" s="1066"/>
      <c r="AW29" s="1066"/>
      <c r="AX29" s="1066"/>
      <c r="AY29" s="1066"/>
      <c r="AZ29" s="1066"/>
      <c r="BI29" s="17">
        <v>14</v>
      </c>
    </row>
    <row r="30" spans="5:61" ht="14.25" hidden="1" customHeight="1">
      <c r="Q30" s="418"/>
      <c r="R30" s="333"/>
      <c r="S30" s="334"/>
      <c r="T30" s="38"/>
      <c r="U30" s="38"/>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I30" s="17">
        <v>0</v>
      </c>
    </row>
    <row r="31" spans="5:61" ht="25.5" hidden="1" customHeight="1">
      <c r="S31" s="1103" t="s">
        <v>42</v>
      </c>
      <c r="T31" s="1103"/>
      <c r="U31" s="337"/>
      <c r="V31" s="1105" t="str">
        <f>IF(TITLE_NAME_OR_PR_CHANGE="",IF(TITLE_NAME_OR_PR="","",TITLE_NAME_OR_PR),TITLE_NAME_OR_PR_CHANGE)</f>
        <v/>
      </c>
      <c r="W31" s="1105"/>
      <c r="X31" s="1105"/>
      <c r="Y31" s="1105"/>
      <c r="Z31" s="1105"/>
      <c r="AA31" s="1105"/>
      <c r="AB31" s="1105"/>
      <c r="AD31" s="1105" t="str">
        <f>IF(TITLE_NAME_OR_PR_CHANGE="",IF(TITLE_NAME_OR_PR="","",TITLE_NAME_OR_PR),TITLE_NAME_OR_PR_CHANGE)</f>
        <v/>
      </c>
      <c r="AE31" s="1105"/>
      <c r="AF31" s="1105"/>
      <c r="AG31" s="1105"/>
      <c r="AH31" s="1105"/>
      <c r="AI31" s="1105"/>
      <c r="AJ31" s="1105"/>
      <c r="AK31" s="1105"/>
      <c r="AL31" s="1105"/>
      <c r="AM31" s="1105"/>
      <c r="AN31" s="1105"/>
      <c r="AO31" s="1105"/>
      <c r="AP31" s="1105"/>
      <c r="AQ31" s="1105"/>
      <c r="AR31" s="1105"/>
      <c r="AS31" s="1105"/>
      <c r="AT31" s="1105"/>
      <c r="AU31" s="1105"/>
      <c r="AV31" s="1105"/>
      <c r="AW31" s="1105"/>
      <c r="AX31" s="1105"/>
      <c r="AY31" s="1105"/>
      <c r="AZ31" s="1105"/>
      <c r="BI31" s="111">
        <v>0</v>
      </c>
    </row>
    <row r="32" spans="5:61" ht="18.75" hidden="1" customHeight="1">
      <c r="S32" s="1103" t="s">
        <v>424</v>
      </c>
      <c r="T32" s="1103"/>
      <c r="U32" s="337"/>
      <c r="V32" s="1104" t="str">
        <f>IF(TITLE_DATE_PR_CHANGE="",IF(TITLE_DATE_PR="","",TITLE_DATE_PR),TITLE_DATE_PR_CHANGE)</f>
        <v/>
      </c>
      <c r="W32" s="1104"/>
      <c r="X32" s="1104"/>
      <c r="Y32" s="1104"/>
      <c r="Z32" s="1104"/>
      <c r="AA32" s="1104"/>
      <c r="AB32" s="1104"/>
      <c r="AD32" s="1104" t="str">
        <f>IF(TITLE_DATE_PR_CHANGE="",IF(TITLE_DATE_PR="","",TITLE_DATE_PR),TITLE_DATE_PR_CHANGE)</f>
        <v/>
      </c>
      <c r="AE32" s="1104"/>
      <c r="AF32" s="1104"/>
      <c r="AG32" s="1104"/>
      <c r="AH32" s="1104"/>
      <c r="AI32" s="1104"/>
      <c r="AJ32" s="1104"/>
      <c r="AK32" s="1104"/>
      <c r="AL32" s="1104"/>
      <c r="AM32" s="1104"/>
      <c r="AN32" s="1104"/>
      <c r="AO32" s="1104"/>
      <c r="AP32" s="1104"/>
      <c r="AQ32" s="1104"/>
      <c r="AR32" s="1104"/>
      <c r="AS32" s="1104"/>
      <c r="AT32" s="1104"/>
      <c r="AU32" s="1104"/>
      <c r="AV32" s="1104"/>
      <c r="AW32" s="1104"/>
      <c r="AX32" s="1104"/>
      <c r="AY32" s="1104"/>
      <c r="AZ32" s="1104"/>
      <c r="BI32" s="111">
        <v>0</v>
      </c>
    </row>
    <row r="33" spans="1:61" ht="18.75" hidden="1" customHeight="1">
      <c r="S33" s="1103" t="s">
        <v>425</v>
      </c>
      <c r="T33" s="1103"/>
      <c r="U33" s="337"/>
      <c r="V33" s="1105" t="str">
        <f>IF(TITLE_NUMBER_PR_CHANGE="",IF(TITLE_NUMBER_PR="","",TITLE_NUMBER_PR),TITLE_NUMBER_PR_CHANGE)</f>
        <v/>
      </c>
      <c r="W33" s="1105"/>
      <c r="X33" s="1105"/>
      <c r="Y33" s="1105"/>
      <c r="Z33" s="1105"/>
      <c r="AA33" s="1105"/>
      <c r="AB33" s="1105"/>
      <c r="AD33" s="1105" t="str">
        <f>IF(TITLE_NUMBER_PR_CHANGE="",IF(TITLE_NUMBER_PR="","",TITLE_NUMBER_PR),TITLE_NUMBER_PR_CHANGE)</f>
        <v/>
      </c>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I33" s="111">
        <v>0</v>
      </c>
    </row>
    <row r="34" spans="1:61" ht="18.75" hidden="1" customHeight="1">
      <c r="S34" s="1103" t="s">
        <v>43</v>
      </c>
      <c r="T34" s="1103"/>
      <c r="U34" s="337"/>
      <c r="V34" s="1105" t="str">
        <f>IF(TITLE_IST_PUB_CHANGE="",IF(TITLE_IST_PUB="","",TITLE_IST_PUB),TITLE_IST_PUB_CHANGE)</f>
        <v/>
      </c>
      <c r="W34" s="1105"/>
      <c r="X34" s="1105"/>
      <c r="Y34" s="1105"/>
      <c r="Z34" s="1105"/>
      <c r="AA34" s="1105"/>
      <c r="AB34" s="1105"/>
      <c r="AD34" s="1105" t="str">
        <f>IF(TITLE_IST_PUB_CHANGE="",IF(TITLE_IST_PUB="","",TITLE_IST_PUB),TITLE_IST_PUB_CHANGE)</f>
        <v/>
      </c>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5"/>
      <c r="AZ34" s="1105"/>
      <c r="BI34" s="111">
        <v>0</v>
      </c>
    </row>
    <row r="35" spans="1:61" ht="14.25" hidden="1" customHeight="1">
      <c r="Q35" s="418"/>
      <c r="R35" s="333"/>
      <c r="S35" s="334"/>
      <c r="T35" s="38"/>
      <c r="U35" s="38"/>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I35" s="17">
        <v>0</v>
      </c>
    </row>
    <row r="36" spans="1:61" ht="18.75" hidden="1" customHeight="1">
      <c r="S36" s="1103" t="s">
        <v>424</v>
      </c>
      <c r="T36" s="1103"/>
      <c r="U36" s="337"/>
      <c r="V36" s="1104" t="str">
        <f>IF(TITLE_DATE_PR_CHANGE="",IF(TITLE_DATE_PR="","",TITLE_DATE_PR),TITLE_DATE_PR_CHANGE)</f>
        <v/>
      </c>
      <c r="W36" s="1104"/>
      <c r="X36" s="1104"/>
      <c r="Y36" s="1104"/>
      <c r="Z36" s="1104"/>
      <c r="AA36" s="1104"/>
      <c r="AB36" s="1104"/>
      <c r="AD36" s="1104" t="str">
        <f>IF(TITLE_DATE_PR_CHANGE="",IF(TITLE_DATE_PR="","",TITLE_DATE_PR),TITLE_DATE_PR_CHANGE)</f>
        <v/>
      </c>
      <c r="AE36" s="1104"/>
      <c r="AF36" s="1104"/>
      <c r="AG36" s="1104"/>
      <c r="AH36" s="1104"/>
      <c r="AI36" s="1104"/>
      <c r="AJ36" s="1104"/>
      <c r="AK36" s="1104"/>
      <c r="AL36" s="1104"/>
      <c r="AM36" s="1104"/>
      <c r="AN36" s="1104"/>
      <c r="AO36" s="1104"/>
      <c r="AP36" s="1104"/>
      <c r="AQ36" s="1104"/>
      <c r="AR36" s="1104"/>
      <c r="AS36" s="1104"/>
      <c r="AT36" s="1104"/>
      <c r="AU36" s="1104"/>
      <c r="AV36" s="1104"/>
      <c r="AW36" s="1104"/>
      <c r="AX36" s="1104"/>
      <c r="AY36" s="1104"/>
      <c r="AZ36" s="1104"/>
      <c r="BI36" s="111">
        <v>0</v>
      </c>
    </row>
    <row r="37" spans="1:61" ht="18.75" hidden="1" customHeight="1">
      <c r="S37" s="1103" t="s">
        <v>425</v>
      </c>
      <c r="T37" s="1103"/>
      <c r="U37" s="337"/>
      <c r="V37" s="1105" t="str">
        <f>IF(TITLE_NUMBER_PR_CHANGE="",IF(TITLE_NUMBER_PR="","",TITLE_NUMBER_PR),TITLE_NUMBER_PR_CHANGE)</f>
        <v/>
      </c>
      <c r="W37" s="1105"/>
      <c r="X37" s="1105"/>
      <c r="Y37" s="1105"/>
      <c r="Z37" s="1105"/>
      <c r="AA37" s="1105"/>
      <c r="AB37" s="1105"/>
      <c r="AD37" s="1105" t="str">
        <f>IF(TITLE_NUMBER_PR_CHANGE="",IF(TITLE_NUMBER_PR="","",TITLE_NUMBER_PR),TITLE_NUMBER_PR_CHANGE)</f>
        <v/>
      </c>
      <c r="AE37" s="1105"/>
      <c r="AF37" s="1105"/>
      <c r="AG37" s="1105"/>
      <c r="AH37" s="1105"/>
      <c r="AI37" s="1105"/>
      <c r="AJ37" s="1105"/>
      <c r="AK37" s="1105"/>
      <c r="AL37" s="1105"/>
      <c r="AM37" s="1105"/>
      <c r="AN37" s="1105"/>
      <c r="AO37" s="1105"/>
      <c r="AP37" s="1105"/>
      <c r="AQ37" s="1105"/>
      <c r="AR37" s="1105"/>
      <c r="AS37" s="1105"/>
      <c r="AT37" s="1105"/>
      <c r="AU37" s="1105"/>
      <c r="AV37" s="1105"/>
      <c r="AW37" s="1105"/>
      <c r="AX37" s="1105"/>
      <c r="AY37" s="1105"/>
      <c r="AZ37" s="1105"/>
      <c r="BI37" s="111">
        <v>0</v>
      </c>
    </row>
    <row r="38" spans="1:61" ht="0" hidden="1" customHeight="1">
      <c r="AC38" s="75" t="s">
        <v>428</v>
      </c>
      <c r="BA38" s="75" t="s">
        <v>428</v>
      </c>
      <c r="BI38" s="111">
        <v>0</v>
      </c>
    </row>
    <row r="39" spans="1:61" ht="14.65" customHeight="1">
      <c r="Q39" s="418"/>
      <c r="R39" s="333"/>
      <c r="S39" s="334"/>
      <c r="T39" s="38"/>
      <c r="U39" s="339"/>
      <c r="V39" s="1123"/>
      <c r="W39" s="1123"/>
      <c r="X39" s="1123"/>
      <c r="Y39" s="1123"/>
      <c r="Z39" s="1123"/>
      <c r="AA39" s="1123"/>
      <c r="AB39" s="1123"/>
      <c r="AC39" s="1123"/>
      <c r="AD39" s="1123"/>
      <c r="AE39" s="1123"/>
      <c r="AF39" s="1123"/>
      <c r="AG39" s="1123"/>
      <c r="AH39" s="1123"/>
      <c r="AI39" s="1123"/>
      <c r="AJ39" s="1123"/>
      <c r="AK39" s="1123"/>
      <c r="AL39" s="1123"/>
      <c r="AM39" s="1123"/>
      <c r="AN39" s="1123"/>
      <c r="AO39" s="1123"/>
      <c r="AP39" s="1123"/>
      <c r="AQ39" s="1123"/>
      <c r="AR39" s="1123"/>
      <c r="AS39" s="1123"/>
      <c r="AT39" s="1123"/>
      <c r="AU39" s="1123"/>
      <c r="AV39" s="1123"/>
      <c r="AW39" s="1123"/>
      <c r="AX39" s="1123"/>
      <c r="AY39" s="1123"/>
      <c r="AZ39" s="1123"/>
      <c r="BA39" s="1123"/>
      <c r="BI39" s="17">
        <v>14</v>
      </c>
    </row>
    <row r="40" spans="1:61" ht="14.65" customHeight="1">
      <c r="Q40" s="418"/>
      <c r="R40" s="333"/>
      <c r="S40" s="995" t="s">
        <v>301</v>
      </c>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c r="AU40" s="995"/>
      <c r="AV40" s="995"/>
      <c r="AW40" s="995"/>
      <c r="AX40" s="995"/>
      <c r="AY40" s="995"/>
      <c r="AZ40" s="995"/>
      <c r="BA40" s="995"/>
      <c r="BB40" s="995"/>
      <c r="BC40" s="995" t="s">
        <v>302</v>
      </c>
      <c r="BI40" s="17">
        <v>14</v>
      </c>
    </row>
    <row r="41" spans="1:61" ht="14.65" customHeight="1">
      <c r="Q41" s="418"/>
      <c r="R41" s="333"/>
      <c r="S41" s="1124" t="s">
        <v>88</v>
      </c>
      <c r="T41" s="1073" t="s">
        <v>508</v>
      </c>
      <c r="U41" s="341"/>
      <c r="V41" s="1125" t="s">
        <v>430</v>
      </c>
      <c r="W41" s="1126"/>
      <c r="X41" s="1126"/>
      <c r="Y41" s="1126"/>
      <c r="Z41" s="1126"/>
      <c r="AA41" s="1126"/>
      <c r="AB41" s="1127"/>
      <c r="AC41" s="1128" t="s">
        <v>431</v>
      </c>
      <c r="AD41" s="1157" t="s">
        <v>525</v>
      </c>
      <c r="AE41" s="1141"/>
      <c r="AF41" s="1141"/>
      <c r="AG41" s="1158"/>
      <c r="AH41" s="1157" t="s">
        <v>526</v>
      </c>
      <c r="AI41" s="1141"/>
      <c r="AJ41" s="1141"/>
      <c r="AK41" s="1158"/>
      <c r="AL41" s="1157" t="s">
        <v>527</v>
      </c>
      <c r="AM41" s="1141"/>
      <c r="AN41" s="1141"/>
      <c r="AO41" s="1158"/>
      <c r="AP41" s="1157" t="s">
        <v>512</v>
      </c>
      <c r="AQ41" s="1141"/>
      <c r="AR41" s="1141"/>
      <c r="AS41" s="1158"/>
      <c r="AT41" s="1125" t="s">
        <v>430</v>
      </c>
      <c r="AU41" s="1126"/>
      <c r="AV41" s="1126"/>
      <c r="AW41" s="1126"/>
      <c r="AX41" s="1126"/>
      <c r="AY41" s="1126"/>
      <c r="AZ41" s="1127"/>
      <c r="BA41" s="1128" t="s">
        <v>431</v>
      </c>
      <c r="BB41" s="1131" t="s">
        <v>433</v>
      </c>
      <c r="BC41" s="995"/>
      <c r="BI41" s="17">
        <v>14</v>
      </c>
    </row>
    <row r="42" spans="1:61" ht="35.65" customHeight="1">
      <c r="Q42" s="418"/>
      <c r="R42" s="333"/>
      <c r="S42" s="1124"/>
      <c r="T42" s="1073"/>
      <c r="U42" s="343"/>
      <c r="V42" s="1047" t="s">
        <v>513</v>
      </c>
      <c r="W42" s="1048"/>
      <c r="X42" s="1047" t="s">
        <v>514</v>
      </c>
      <c r="Y42" s="1048"/>
      <c r="Z42" s="1047" t="s">
        <v>515</v>
      </c>
      <c r="AA42" s="1153"/>
      <c r="AB42" s="1048"/>
      <c r="AC42" s="1129"/>
      <c r="AD42" s="1159"/>
      <c r="AE42" s="1160"/>
      <c r="AF42" s="1160"/>
      <c r="AG42" s="1172"/>
      <c r="AH42" s="1159"/>
      <c r="AI42" s="1160"/>
      <c r="AJ42" s="1160"/>
      <c r="AK42" s="1172"/>
      <c r="AL42" s="1159"/>
      <c r="AM42" s="1160"/>
      <c r="AN42" s="1160"/>
      <c r="AO42" s="1172"/>
      <c r="AP42" s="1159"/>
      <c r="AQ42" s="1160"/>
      <c r="AR42" s="1160"/>
      <c r="AS42" s="1172"/>
      <c r="AT42" s="1047" t="s">
        <v>528</v>
      </c>
      <c r="AU42" s="1048"/>
      <c r="AV42" s="1047" t="s">
        <v>529</v>
      </c>
      <c r="AW42" s="1048"/>
      <c r="AX42" s="1047" t="s">
        <v>515</v>
      </c>
      <c r="AY42" s="1153"/>
      <c r="AZ42" s="1048"/>
      <c r="BA42" s="1129"/>
      <c r="BB42" s="1132"/>
      <c r="BC42" s="995"/>
      <c r="BI42" s="17">
        <v>34</v>
      </c>
    </row>
    <row r="43" spans="1:61" ht="14.65" customHeight="1">
      <c r="Q43" s="418"/>
      <c r="R43" s="333"/>
      <c r="S43" s="1124"/>
      <c r="T43" s="1073"/>
      <c r="U43" s="343"/>
      <c r="V43" s="1052"/>
      <c r="W43" s="1053"/>
      <c r="X43" s="1052"/>
      <c r="Y43" s="1053"/>
      <c r="Z43" s="1052"/>
      <c r="AA43" s="1154"/>
      <c r="AB43" s="1053"/>
      <c r="AC43" s="1129"/>
      <c r="AD43" s="1159"/>
      <c r="AE43" s="1160"/>
      <c r="AF43" s="1160"/>
      <c r="AG43" s="1172"/>
      <c r="AH43" s="1159"/>
      <c r="AI43" s="1160"/>
      <c r="AJ43" s="1160"/>
      <c r="AK43" s="1172"/>
      <c r="AL43" s="1159"/>
      <c r="AM43" s="1160"/>
      <c r="AN43" s="1160"/>
      <c r="AO43" s="1172"/>
      <c r="AP43" s="1159"/>
      <c r="AQ43" s="1160"/>
      <c r="AR43" s="1160"/>
      <c r="AS43" s="1172"/>
      <c r="AT43" s="1052"/>
      <c r="AU43" s="1053"/>
      <c r="AV43" s="1052"/>
      <c r="AW43" s="1053"/>
      <c r="AX43" s="1052"/>
      <c r="AY43" s="1154"/>
      <c r="AZ43" s="1053"/>
      <c r="BA43" s="1129"/>
      <c r="BB43" s="1132"/>
      <c r="BC43" s="995"/>
      <c r="BI43" s="17">
        <v>14</v>
      </c>
    </row>
    <row r="44" spans="1:61" ht="14.65" customHeight="1">
      <c r="B44" s="126" t="s">
        <v>138</v>
      </c>
      <c r="C44" s="126" t="s">
        <v>139</v>
      </c>
      <c r="D44" s="126" t="s">
        <v>140</v>
      </c>
      <c r="E44" s="306" t="s">
        <v>438</v>
      </c>
      <c r="F44" s="306" t="s">
        <v>439</v>
      </c>
      <c r="G44" s="306" t="s">
        <v>440</v>
      </c>
      <c r="H44" s="306" t="s">
        <v>441</v>
      </c>
      <c r="I44" s="306" t="s">
        <v>442</v>
      </c>
      <c r="J44" s="306" t="s">
        <v>443</v>
      </c>
      <c r="K44" s="306" t="s">
        <v>444</v>
      </c>
      <c r="L44" s="306" t="s">
        <v>419</v>
      </c>
      <c r="Q44" s="418"/>
      <c r="R44" s="333"/>
      <c r="S44" s="1124"/>
      <c r="T44" s="1073"/>
      <c r="U44" s="344"/>
      <c r="V44" s="189" t="s">
        <v>479</v>
      </c>
      <c r="W44" s="189" t="s">
        <v>480</v>
      </c>
      <c r="X44" s="189" t="s">
        <v>479</v>
      </c>
      <c r="Y44" s="189" t="s">
        <v>480</v>
      </c>
      <c r="Z44" s="134" t="s">
        <v>447</v>
      </c>
      <c r="AA44" s="1078" t="s">
        <v>448</v>
      </c>
      <c r="AB44" s="1092"/>
      <c r="AC44" s="1130"/>
      <c r="AD44" s="1161"/>
      <c r="AE44" s="1162"/>
      <c r="AF44" s="1162"/>
      <c r="AG44" s="1163"/>
      <c r="AH44" s="1161"/>
      <c r="AI44" s="1162"/>
      <c r="AJ44" s="1162"/>
      <c r="AK44" s="1163"/>
      <c r="AL44" s="1161"/>
      <c r="AM44" s="1162"/>
      <c r="AN44" s="1162"/>
      <c r="AO44" s="1163"/>
      <c r="AP44" s="1161"/>
      <c r="AQ44" s="1162"/>
      <c r="AR44" s="1162"/>
      <c r="AS44" s="1163"/>
      <c r="AT44" s="189" t="s">
        <v>479</v>
      </c>
      <c r="AU44" s="189" t="s">
        <v>480</v>
      </c>
      <c r="AV44" s="189" t="s">
        <v>479</v>
      </c>
      <c r="AW44" s="189" t="s">
        <v>480</v>
      </c>
      <c r="AX44" s="134" t="s">
        <v>447</v>
      </c>
      <c r="AY44" s="1078" t="s">
        <v>448</v>
      </c>
      <c r="AZ44" s="1092"/>
      <c r="BA44" s="1130"/>
      <c r="BB44" s="1133"/>
      <c r="BC44" s="995"/>
      <c r="BI44" s="17">
        <v>14</v>
      </c>
    </row>
    <row r="45" spans="1:61" ht="11.25" hidden="1" customHeight="1">
      <c r="Q45" s="348"/>
      <c r="R45" s="348">
        <v>1</v>
      </c>
      <c r="S45" s="349" t="s">
        <v>110</v>
      </c>
      <c r="T45" s="350" t="s">
        <v>111</v>
      </c>
      <c r="U45" s="351" t="str">
        <f ca="1">OFFSET(U45,0,-1)</f>
        <v>2</v>
      </c>
      <c r="V45" s="352">
        <f t="shared" ref="V45:AA45" ca="1" si="2">OFFSET(V45,0,-1)+1</f>
        <v>3</v>
      </c>
      <c r="W45" s="352">
        <f t="shared" ca="1" si="2"/>
        <v>4</v>
      </c>
      <c r="X45" s="352">
        <f t="shared" ca="1" si="2"/>
        <v>5</v>
      </c>
      <c r="Y45" s="352">
        <f t="shared" ca="1" si="2"/>
        <v>6</v>
      </c>
      <c r="Z45" s="352">
        <f t="shared" ca="1" si="2"/>
        <v>7</v>
      </c>
      <c r="AA45" s="1122">
        <f t="shared" ca="1" si="2"/>
        <v>8</v>
      </c>
      <c r="AB45" s="1122"/>
      <c r="AC45" s="352">
        <f ca="1">OFFSET(AC45,0,-2)+1</f>
        <v>9</v>
      </c>
      <c r="AD45" s="352">
        <f ca="1">OFFSET(AD45,0,-1)+1</f>
        <v>10</v>
      </c>
      <c r="AE45" s="352"/>
      <c r="AF45" s="352"/>
      <c r="AG45" s="352"/>
      <c r="AH45" s="352"/>
      <c r="AI45" s="352"/>
      <c r="AJ45" s="352"/>
      <c r="AK45" s="352"/>
      <c r="AL45" s="352"/>
      <c r="AM45" s="352"/>
      <c r="AN45" s="352"/>
      <c r="AO45" s="352"/>
      <c r="AP45" s="352"/>
      <c r="AQ45" s="352"/>
      <c r="AR45" s="352"/>
      <c r="AS45" s="352"/>
      <c r="AT45" s="352"/>
      <c r="AU45" s="352"/>
      <c r="AV45" s="352"/>
      <c r="AW45" s="352">
        <f ca="1">OFFSET(AW45,0,-1)+1</f>
        <v>1</v>
      </c>
      <c r="AX45" s="352">
        <f ca="1">OFFSET(AX45,0,-1)+1</f>
        <v>2</v>
      </c>
      <c r="AY45" s="1122">
        <f ca="1">OFFSET(AY45,0,-1)+1</f>
        <v>3</v>
      </c>
      <c r="AZ45" s="1122"/>
      <c r="BA45" s="352">
        <f ca="1">OFFSET(BA45,0,-2)+1</f>
        <v>4</v>
      </c>
      <c r="BB45" s="351">
        <f ca="1">OFFSET(BB45,0,-1)</f>
        <v>4</v>
      </c>
      <c r="BC45" s="352">
        <f ca="1">OFFSET(BC45,0,-1)+1</f>
        <v>5</v>
      </c>
      <c r="BI45" s="258">
        <v>0</v>
      </c>
    </row>
    <row r="46" spans="1:61" ht="21.95" customHeight="1">
      <c r="A46" s="353" t="s">
        <v>277</v>
      </c>
      <c r="E46" s="1111">
        <v>1</v>
      </c>
      <c r="R46" s="294"/>
      <c r="S46" s="295">
        <f>INDEX(PT_DIFFERENTIATION_NUM_NTAR,MATCH(A46,PT_DIFFERENTIATION_NTAR_ID,0))</f>
        <v>0</v>
      </c>
      <c r="T46" s="296" t="s">
        <v>126</v>
      </c>
      <c r="U46" s="297"/>
      <c r="V46" s="1107"/>
      <c r="W46" s="1107"/>
      <c r="X46" s="1107"/>
      <c r="Y46" s="1107"/>
      <c r="Z46" s="1107"/>
      <c r="AA46" s="1107"/>
      <c r="AB46" s="1107"/>
      <c r="AC46" s="1108"/>
      <c r="AD46" s="1106" t="str">
        <f>INDEX(PT_DIFFERENTIATION_NTAR,MATCH(A46,PT_DIFFERENTIATION_NTAR_ID,0))</f>
        <v/>
      </c>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8"/>
      <c r="BC46"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87" t="str">
        <f t="shared" ref="BF46:BF52" si="3">IF(T46="","",T46)</f>
        <v>Наименование тарифа</v>
      </c>
      <c r="BI46" s="17">
        <v>21</v>
      </c>
    </row>
    <row r="47" spans="1:61" ht="21.95" customHeight="1">
      <c r="A47" s="353" t="s">
        <v>277</v>
      </c>
      <c r="B47" s="353" t="s">
        <v>278</v>
      </c>
      <c r="E47" s="1112"/>
      <c r="F47" s="1111">
        <v>1</v>
      </c>
      <c r="Q47" s="397"/>
      <c r="R47" s="301"/>
      <c r="S47" s="295" t="str">
        <f>INDEX(PT_DIFFERENTIATION_NUM_TER,MATCH(B47,PT_DIFFERENTIATION_TER_ID,0))</f>
        <v>.</v>
      </c>
      <c r="T47" s="302" t="s">
        <v>398</v>
      </c>
      <c r="U47" s="297"/>
      <c r="V47" s="1107"/>
      <c r="W47" s="1107"/>
      <c r="X47" s="1107"/>
      <c r="Y47" s="1107"/>
      <c r="Z47" s="1107"/>
      <c r="AA47" s="1107"/>
      <c r="AB47" s="1107"/>
      <c r="AC47" s="1108"/>
      <c r="AD47" s="1106" t="str">
        <f>INDEX(PT_DIFFERENTIATION_TER,MATCH(B47,PT_DIFFERENTIATION_TER_ID,0))</f>
        <v/>
      </c>
      <c r="AE47" s="1107"/>
      <c r="AF47" s="1107"/>
      <c r="AG47" s="1107"/>
      <c r="AH47" s="1107"/>
      <c r="AI47" s="1107"/>
      <c r="AJ47" s="1107"/>
      <c r="AK47" s="1107"/>
      <c r="AL47" s="1107"/>
      <c r="AM47" s="1107"/>
      <c r="AN47" s="1107"/>
      <c r="AO47" s="1107"/>
      <c r="AP47" s="1107"/>
      <c r="AQ47" s="1107"/>
      <c r="AR47" s="1107"/>
      <c r="AS47" s="1107"/>
      <c r="AT47" s="1107"/>
      <c r="AU47" s="1107"/>
      <c r="AV47" s="1107"/>
      <c r="AW47" s="1107"/>
      <c r="AX47" s="1107"/>
      <c r="AY47" s="1107"/>
      <c r="AZ47" s="1107"/>
      <c r="BA47" s="1107"/>
      <c r="BB47" s="1108"/>
      <c r="BC47" s="299" t="s">
        <v>399</v>
      </c>
      <c r="BF47" s="87" t="str">
        <f t="shared" si="3"/>
        <v>Территория действия тарифа</v>
      </c>
      <c r="BI47" s="17">
        <v>21</v>
      </c>
    </row>
    <row r="48" spans="1:61" ht="35.65" customHeight="1">
      <c r="A48" s="353" t="s">
        <v>277</v>
      </c>
      <c r="B48" s="353" t="s">
        <v>278</v>
      </c>
      <c r="C48" s="353" t="s">
        <v>279</v>
      </c>
      <c r="E48" s="1112"/>
      <c r="F48" s="1112"/>
      <c r="G48" s="1111">
        <v>1</v>
      </c>
      <c r="Q48" s="397"/>
      <c r="R48" s="301"/>
      <c r="S48" s="295" t="str">
        <f>INDEX(PT_DIFFERENTIATION_NUM_CS,MATCH(C48,PT_DIFFERENTIATION_CS_ID,0))</f>
        <v>..</v>
      </c>
      <c r="T48" s="303" t="s">
        <v>517</v>
      </c>
      <c r="U48" s="297"/>
      <c r="V48" s="1107"/>
      <c r="W48" s="1107"/>
      <c r="X48" s="1107"/>
      <c r="Y48" s="1107"/>
      <c r="Z48" s="1107"/>
      <c r="AA48" s="1107"/>
      <c r="AB48" s="1107"/>
      <c r="AC48" s="1108"/>
      <c r="AD48" s="1106" t="str">
        <f>INDEX(PT_DIFFERENTIATION_CS,MATCH(C48,PT_DIFFERENTIATION_CS_ID,0))</f>
        <v/>
      </c>
      <c r="AE48" s="1107"/>
      <c r="AF48" s="1107"/>
      <c r="AG48" s="1107"/>
      <c r="AH48" s="1107"/>
      <c r="AI48" s="1107"/>
      <c r="AJ48" s="1107"/>
      <c r="AK48" s="1107"/>
      <c r="AL48" s="1107"/>
      <c r="AM48" s="1107"/>
      <c r="AN48" s="1107"/>
      <c r="AO48" s="1107"/>
      <c r="AP48" s="1107"/>
      <c r="AQ48" s="1107"/>
      <c r="AR48" s="1107"/>
      <c r="AS48" s="1107"/>
      <c r="AT48" s="1107"/>
      <c r="AU48" s="1107"/>
      <c r="AV48" s="1107"/>
      <c r="AW48" s="1107"/>
      <c r="AX48" s="1107"/>
      <c r="AY48" s="1107"/>
      <c r="AZ48" s="1107"/>
      <c r="BA48" s="1107"/>
      <c r="BB48" s="1108"/>
      <c r="BC48" s="299" t="s">
        <v>518</v>
      </c>
      <c r="BF48" s="87" t="str">
        <f t="shared" si="3"/>
        <v>Наименование централизованной системы водоотведения</v>
      </c>
      <c r="BI48" s="17">
        <v>34</v>
      </c>
    </row>
    <row r="49" spans="1:61" ht="0" hidden="1" customHeight="1">
      <c r="A49" s="72" t="s">
        <v>277</v>
      </c>
      <c r="B49" s="72" t="s">
        <v>278</v>
      </c>
      <c r="C49" s="72" t="s">
        <v>279</v>
      </c>
      <c r="D49" s="72" t="s">
        <v>530</v>
      </c>
      <c r="E49" s="1112"/>
      <c r="F49" s="1112"/>
      <c r="G49" s="1112"/>
      <c r="H49" s="1111">
        <v>1</v>
      </c>
      <c r="Q49" s="435"/>
      <c r="R49" s="309"/>
      <c r="S49" s="193"/>
      <c r="T49" s="436"/>
      <c r="U49" s="364"/>
      <c r="V49" s="1143"/>
      <c r="W49" s="1143"/>
      <c r="X49" s="1143"/>
      <c r="Y49" s="1143"/>
      <c r="Z49" s="1143"/>
      <c r="AA49" s="1143"/>
      <c r="AB49" s="1143"/>
      <c r="AC49" s="1144"/>
      <c r="AD49" s="1142"/>
      <c r="AE49" s="1143"/>
      <c r="AF49" s="1143"/>
      <c r="AG49" s="1143"/>
      <c r="AH49" s="1143"/>
      <c r="AI49" s="1143"/>
      <c r="AJ49" s="1143"/>
      <c r="AK49" s="1143"/>
      <c r="AL49" s="1143"/>
      <c r="AM49" s="1143"/>
      <c r="AN49" s="1143"/>
      <c r="AO49" s="1143"/>
      <c r="AP49" s="1143"/>
      <c r="AQ49" s="1143"/>
      <c r="AR49" s="1143"/>
      <c r="AS49" s="1143"/>
      <c r="AT49" s="1143"/>
      <c r="AU49" s="1143"/>
      <c r="AV49" s="1143"/>
      <c r="AW49" s="1143"/>
      <c r="AX49" s="1143"/>
      <c r="AY49" s="1143"/>
      <c r="AZ49" s="1143"/>
      <c r="BA49" s="1143"/>
      <c r="BB49" s="1144"/>
      <c r="BC49" s="366" t="s">
        <v>403</v>
      </c>
      <c r="BF49" s="87" t="str">
        <f t="shared" si="3"/>
        <v/>
      </c>
      <c r="BI49" s="75">
        <v>0</v>
      </c>
    </row>
    <row r="50" spans="1:61" ht="0" hidden="1" customHeight="1">
      <c r="A50" s="72" t="s">
        <v>277</v>
      </c>
      <c r="B50" s="72" t="s">
        <v>278</v>
      </c>
      <c r="C50" s="72" t="s">
        <v>279</v>
      </c>
      <c r="D50" s="72" t="s">
        <v>530</v>
      </c>
      <c r="E50" s="1112"/>
      <c r="F50" s="1112"/>
      <c r="G50" s="1112"/>
      <c r="H50" s="1112"/>
      <c r="I50" s="1113" t="str">
        <f>S49&amp;".1"</f>
        <v>.1</v>
      </c>
      <c r="L50" s="371" t="s">
        <v>404</v>
      </c>
      <c r="P50" s="1115">
        <v>1</v>
      </c>
      <c r="R50" s="307"/>
      <c r="S50" s="193"/>
      <c r="T50" s="363"/>
      <c r="U50" s="364"/>
      <c r="V50" s="1143"/>
      <c r="W50" s="1143"/>
      <c r="X50" s="1143"/>
      <c r="Y50" s="1143"/>
      <c r="Z50" s="1143"/>
      <c r="AA50" s="1143"/>
      <c r="AB50" s="1143"/>
      <c r="AC50" s="1144"/>
      <c r="AD50" s="1142"/>
      <c r="AE50" s="1143"/>
      <c r="AF50" s="1143"/>
      <c r="AG50" s="1143"/>
      <c r="AH50" s="1143"/>
      <c r="AI50" s="1143"/>
      <c r="AJ50" s="1143"/>
      <c r="AK50" s="1143"/>
      <c r="AL50" s="1143"/>
      <c r="AM50" s="1143"/>
      <c r="AN50" s="1143"/>
      <c r="AO50" s="1143"/>
      <c r="AP50" s="1143"/>
      <c r="AQ50" s="1143"/>
      <c r="AR50" s="1143"/>
      <c r="AS50" s="1143"/>
      <c r="AT50" s="1143"/>
      <c r="AU50" s="1143"/>
      <c r="AV50" s="1143"/>
      <c r="AW50" s="1143"/>
      <c r="AX50" s="1143"/>
      <c r="AY50" s="1143"/>
      <c r="AZ50" s="1143"/>
      <c r="BA50" s="1143"/>
      <c r="BB50" s="1144"/>
      <c r="BC50" s="366"/>
      <c r="BF50" s="87" t="str">
        <f t="shared" si="3"/>
        <v/>
      </c>
      <c r="BI50" s="75">
        <v>0</v>
      </c>
    </row>
    <row r="51" spans="1:61" ht="0" hidden="1" customHeight="1">
      <c r="A51" s="72" t="s">
        <v>277</v>
      </c>
      <c r="B51" s="72" t="s">
        <v>278</v>
      </c>
      <c r="C51" s="72" t="s">
        <v>279</v>
      </c>
      <c r="D51" s="72" t="s">
        <v>530</v>
      </c>
      <c r="E51" s="1112"/>
      <c r="F51" s="1112"/>
      <c r="G51" s="1112"/>
      <c r="H51" s="1112"/>
      <c r="I51" s="1114"/>
      <c r="J51" s="1113" t="str">
        <f>S49&amp;".1"</f>
        <v>.1</v>
      </c>
      <c r="P51" s="964"/>
      <c r="Q51" s="1115">
        <v>1</v>
      </c>
      <c r="R51" s="309"/>
      <c r="S51" s="193"/>
      <c r="T51" s="398"/>
      <c r="U51" s="364"/>
      <c r="V51" s="1143"/>
      <c r="W51" s="1143"/>
      <c r="X51" s="1143"/>
      <c r="Y51" s="1143"/>
      <c r="Z51" s="1143"/>
      <c r="AA51" s="1143"/>
      <c r="AB51" s="1143"/>
      <c r="AC51" s="1144"/>
      <c r="AD51" s="1142"/>
      <c r="AE51" s="1143"/>
      <c r="AF51" s="1143"/>
      <c r="AG51" s="1143"/>
      <c r="AH51" s="1143"/>
      <c r="AI51" s="1143"/>
      <c r="AJ51" s="1143"/>
      <c r="AK51" s="1143"/>
      <c r="AL51" s="1143"/>
      <c r="AM51" s="1143"/>
      <c r="AN51" s="1194"/>
      <c r="AO51" s="1194"/>
      <c r="AP51" s="1143"/>
      <c r="AQ51" s="1143"/>
      <c r="AR51" s="1143"/>
      <c r="AS51" s="1143"/>
      <c r="AT51" s="1143"/>
      <c r="AU51" s="1143"/>
      <c r="AV51" s="1143"/>
      <c r="AW51" s="1143"/>
      <c r="AX51" s="1143"/>
      <c r="AY51" s="1143"/>
      <c r="AZ51" s="1143"/>
      <c r="BA51" s="1143"/>
      <c r="BB51" s="1144"/>
      <c r="BC51" s="366"/>
      <c r="BF51" s="87" t="str">
        <f t="shared" si="3"/>
        <v/>
      </c>
      <c r="BI51" s="75">
        <v>0</v>
      </c>
    </row>
    <row r="52" spans="1:61" ht="11.45" customHeight="1">
      <c r="A52" s="353" t="s">
        <v>277</v>
      </c>
      <c r="B52" s="353" t="s">
        <v>278</v>
      </c>
      <c r="C52" s="353" t="s">
        <v>279</v>
      </c>
      <c r="D52" s="353" t="s">
        <v>530</v>
      </c>
      <c r="E52" s="1112"/>
      <c r="F52" s="1112"/>
      <c r="G52" s="1112"/>
      <c r="H52" s="1112"/>
      <c r="I52" s="1114"/>
      <c r="J52" s="1114"/>
      <c r="K52" s="1113" t="str">
        <f>S48&amp;".1"</f>
        <v>...1</v>
      </c>
      <c r="P52" s="964"/>
      <c r="Q52" s="964"/>
      <c r="R52" s="309">
        <v>1</v>
      </c>
      <c r="S52" s="1168" t="str">
        <f>$K52</f>
        <v>...1</v>
      </c>
      <c r="T52" s="1188"/>
      <c r="U52" s="297"/>
      <c r="V52" s="312"/>
      <c r="W52" s="314"/>
      <c r="X52" s="312"/>
      <c r="Y52" s="314"/>
      <c r="Z52" s="315"/>
      <c r="AA52" s="122" t="s">
        <v>66</v>
      </c>
      <c r="AB52" s="315"/>
      <c r="AC52" s="122" t="s">
        <v>66</v>
      </c>
      <c r="AD52" s="1059" t="s">
        <v>66</v>
      </c>
      <c r="AE52" s="1164"/>
      <c r="AF52" s="1069">
        <v>1</v>
      </c>
      <c r="AG52" s="1187"/>
      <c r="AH52" s="1004" t="s">
        <v>66</v>
      </c>
      <c r="AI52" s="1164"/>
      <c r="AJ52" s="1069">
        <v>1</v>
      </c>
      <c r="AK52" s="1178" t="s">
        <v>22</v>
      </c>
      <c r="AL52" s="1004" t="s">
        <v>66</v>
      </c>
      <c r="AM52" s="1047"/>
      <c r="AN52" s="1069">
        <v>1</v>
      </c>
      <c r="AO52" s="1191"/>
      <c r="AP52" s="1192" t="s">
        <v>66</v>
      </c>
      <c r="AQ52" s="401"/>
      <c r="AR52" s="187">
        <v>1</v>
      </c>
      <c r="AS52" s="43" t="s">
        <v>22</v>
      </c>
      <c r="AT52" s="312"/>
      <c r="AU52" s="314"/>
      <c r="AV52" s="312"/>
      <c r="AW52" s="314"/>
      <c r="AX52" s="315"/>
      <c r="AY52" s="122" t="s">
        <v>66</v>
      </c>
      <c r="AZ52" s="315"/>
      <c r="BA52" s="122" t="s">
        <v>66</v>
      </c>
      <c r="BB52" s="354"/>
      <c r="BC52" s="1134" t="s">
        <v>502</v>
      </c>
      <c r="BF52" s="87" t="str">
        <f t="shared" si="3"/>
        <v/>
      </c>
      <c r="BI52" s="17">
        <v>11</v>
      </c>
    </row>
    <row r="53" spans="1:61" ht="11.45" customHeight="1">
      <c r="E53" s="1112"/>
      <c r="F53" s="1112"/>
      <c r="G53" s="1112"/>
      <c r="H53" s="1112"/>
      <c r="I53" s="1114"/>
      <c r="J53" s="1114"/>
      <c r="K53" s="1113"/>
      <c r="P53" s="964"/>
      <c r="Q53" s="964"/>
      <c r="R53" s="309"/>
      <c r="S53" s="1169"/>
      <c r="T53" s="1189"/>
      <c r="U53" s="297"/>
      <c r="V53" s="391"/>
      <c r="W53" s="404"/>
      <c r="X53" s="391"/>
      <c r="Y53" s="404"/>
      <c r="Z53" s="391"/>
      <c r="AA53" s="391"/>
      <c r="AB53" s="391"/>
      <c r="AC53" s="391"/>
      <c r="AD53" s="1060"/>
      <c r="AE53" s="1164"/>
      <c r="AF53" s="1069"/>
      <c r="AG53" s="1187"/>
      <c r="AH53" s="1004"/>
      <c r="AI53" s="1164"/>
      <c r="AJ53" s="1069"/>
      <c r="AK53" s="1178"/>
      <c r="AL53" s="1004"/>
      <c r="AM53" s="1052"/>
      <c r="AN53" s="1069"/>
      <c r="AO53" s="1191"/>
      <c r="AP53" s="1193"/>
      <c r="AQ53" s="403"/>
      <c r="AR53" s="105"/>
      <c r="AS53" s="105" t="s">
        <v>503</v>
      </c>
      <c r="AT53" s="391"/>
      <c r="AU53" s="404"/>
      <c r="AV53" s="391"/>
      <c r="AW53" s="404"/>
      <c r="AX53" s="391"/>
      <c r="AY53" s="391"/>
      <c r="AZ53" s="391"/>
      <c r="BA53" s="391"/>
      <c r="BB53" s="402"/>
      <c r="BC53" s="1135"/>
      <c r="BI53" s="17">
        <v>11</v>
      </c>
    </row>
    <row r="54" spans="1:61" ht="11.45" customHeight="1">
      <c r="A54" s="353" t="s">
        <v>277</v>
      </c>
      <c r="E54" s="1112"/>
      <c r="F54" s="1112"/>
      <c r="G54" s="1112"/>
      <c r="H54" s="1112"/>
      <c r="I54" s="1114"/>
      <c r="J54" s="1114"/>
      <c r="K54" s="1113"/>
      <c r="P54" s="964"/>
      <c r="Q54" s="964"/>
      <c r="R54" s="309"/>
      <c r="S54" s="1169"/>
      <c r="T54" s="1189"/>
      <c r="U54" s="297"/>
      <c r="V54" s="391"/>
      <c r="W54" s="404"/>
      <c r="X54" s="391"/>
      <c r="Y54" s="404"/>
      <c r="Z54" s="391"/>
      <c r="AA54" s="391"/>
      <c r="AB54" s="391"/>
      <c r="AC54" s="391"/>
      <c r="AD54" s="1060"/>
      <c r="AE54" s="1164"/>
      <c r="AF54" s="1069"/>
      <c r="AG54" s="1187"/>
      <c r="AH54" s="1004"/>
      <c r="AI54" s="1164"/>
      <c r="AJ54" s="1069"/>
      <c r="AK54" s="1178"/>
      <c r="AL54" s="1004"/>
      <c r="AM54" s="403"/>
      <c r="AN54" s="437"/>
      <c r="AO54" s="437" t="s">
        <v>523</v>
      </c>
      <c r="AP54" s="105"/>
      <c r="AQ54" s="105"/>
      <c r="AR54" s="105"/>
      <c r="AS54" s="391"/>
      <c r="AT54" s="391"/>
      <c r="AU54" s="404"/>
      <c r="AV54" s="391"/>
      <c r="AW54" s="404"/>
      <c r="AX54" s="391"/>
      <c r="AY54" s="391"/>
      <c r="AZ54" s="391"/>
      <c r="BA54" s="391"/>
      <c r="BB54" s="402"/>
      <c r="BC54" s="1135"/>
      <c r="BI54" s="17">
        <v>11</v>
      </c>
    </row>
    <row r="55" spans="1:61" ht="11.45" customHeight="1">
      <c r="A55" s="353" t="s">
        <v>277</v>
      </c>
      <c r="E55" s="1112"/>
      <c r="F55" s="1112"/>
      <c r="G55" s="1112"/>
      <c r="H55" s="1112"/>
      <c r="I55" s="1114"/>
      <c r="J55" s="1114"/>
      <c r="K55" s="1113"/>
      <c r="P55" s="964"/>
      <c r="Q55" s="964"/>
      <c r="R55" s="309"/>
      <c r="S55" s="1169"/>
      <c r="T55" s="1189"/>
      <c r="U55" s="297"/>
      <c r="V55" s="391"/>
      <c r="W55" s="404"/>
      <c r="X55" s="391"/>
      <c r="Y55" s="404"/>
      <c r="Z55" s="391"/>
      <c r="AA55" s="391"/>
      <c r="AB55" s="391"/>
      <c r="AC55" s="391"/>
      <c r="AD55" s="1060"/>
      <c r="AE55" s="1164"/>
      <c r="AF55" s="1069"/>
      <c r="AG55" s="1187"/>
      <c r="AH55" s="1004"/>
      <c r="AI55" s="406"/>
      <c r="AJ55" s="100"/>
      <c r="AK55" s="269" t="s">
        <v>524</v>
      </c>
      <c r="AL55" s="391"/>
      <c r="AM55" s="391"/>
      <c r="AN55" s="391"/>
      <c r="AO55" s="391"/>
      <c r="AP55" s="391"/>
      <c r="AQ55" s="391"/>
      <c r="AR55" s="391"/>
      <c r="AS55" s="391"/>
      <c r="AT55" s="391"/>
      <c r="AU55" s="404"/>
      <c r="AV55" s="391"/>
      <c r="AW55" s="404"/>
      <c r="AX55" s="391"/>
      <c r="AY55" s="391"/>
      <c r="AZ55" s="391"/>
      <c r="BA55" s="391"/>
      <c r="BB55" s="402"/>
      <c r="BC55" s="1135"/>
      <c r="BI55" s="17">
        <v>11</v>
      </c>
    </row>
    <row r="56" spans="1:61" ht="11.45" customHeight="1">
      <c r="A56" s="353" t="s">
        <v>277</v>
      </c>
      <c r="B56" s="353" t="s">
        <v>278</v>
      </c>
      <c r="C56" s="353" t="s">
        <v>279</v>
      </c>
      <c r="D56" s="353" t="s">
        <v>530</v>
      </c>
      <c r="E56" s="1112"/>
      <c r="F56" s="1112"/>
      <c r="G56" s="1112"/>
      <c r="H56" s="1112"/>
      <c r="I56" s="1114"/>
      <c r="J56" s="1114"/>
      <c r="K56" s="1113"/>
      <c r="P56" s="964"/>
      <c r="Q56" s="964"/>
      <c r="R56" s="309"/>
      <c r="S56" s="1170"/>
      <c r="T56" s="1190"/>
      <c r="U56" s="297"/>
      <c r="V56" s="391"/>
      <c r="W56" s="392" t="str">
        <f>Z52&amp;"-"&amp;AB52</f>
        <v>-</v>
      </c>
      <c r="X56" s="391"/>
      <c r="Y56" s="392" t="str">
        <f>AB52&amp;"-"&amp;AD52</f>
        <v>-да</v>
      </c>
      <c r="Z56" s="391"/>
      <c r="AA56" s="391"/>
      <c r="AB56" s="391"/>
      <c r="AC56" s="391"/>
      <c r="AD56" s="1009"/>
      <c r="AE56" s="408"/>
      <c r="AF56" s="409"/>
      <c r="AG56" s="105" t="s">
        <v>506</v>
      </c>
      <c r="AH56" s="391"/>
      <c r="AI56" s="391"/>
      <c r="AJ56" s="391"/>
      <c r="AK56" s="391"/>
      <c r="AL56" s="391"/>
      <c r="AM56" s="391"/>
      <c r="AN56" s="391"/>
      <c r="AO56" s="391"/>
      <c r="AP56" s="391"/>
      <c r="AQ56" s="391"/>
      <c r="AR56" s="391"/>
      <c r="AS56" s="391"/>
      <c r="AT56" s="391"/>
      <c r="AU56" s="392" t="str">
        <f>AX52&amp;"-"&amp;AZ52</f>
        <v>-</v>
      </c>
      <c r="AV56" s="391"/>
      <c r="AW56" s="392" t="str">
        <f>AZ52&amp;"-"&amp;BB52</f>
        <v>-</v>
      </c>
      <c r="AX56" s="391"/>
      <c r="AY56" s="391"/>
      <c r="AZ56" s="391"/>
      <c r="BA56" s="391"/>
      <c r="BB56" s="407" t="str">
        <f>BE52&amp;"-"&amp;BG52</f>
        <v>-</v>
      </c>
      <c r="BC56" s="1135"/>
      <c r="BF56" s="87" t="str">
        <f t="shared" ref="BF56:BF63" si="4">IF(T56="","",T56)</f>
        <v/>
      </c>
      <c r="BI56" s="17">
        <v>11</v>
      </c>
    </row>
    <row r="57" spans="1:61" ht="11.45" customHeight="1">
      <c r="A57" s="353" t="s">
        <v>277</v>
      </c>
      <c r="B57" s="353" t="s">
        <v>278</v>
      </c>
      <c r="C57" s="353" t="s">
        <v>279</v>
      </c>
      <c r="D57" s="353" t="s">
        <v>530</v>
      </c>
      <c r="E57" s="1112"/>
      <c r="F57" s="1112"/>
      <c r="G57" s="1112"/>
      <c r="H57" s="1112"/>
      <c r="I57" s="1114"/>
      <c r="J57" s="1113"/>
      <c r="P57" s="964"/>
      <c r="Q57" s="964"/>
      <c r="R57" s="307"/>
      <c r="S57" s="318"/>
      <c r="T57" s="321" t="s">
        <v>469</v>
      </c>
      <c r="U57" s="117"/>
      <c r="V57" s="117"/>
      <c r="W57" s="117"/>
      <c r="X57" s="117"/>
      <c r="Y57" s="117"/>
      <c r="Z57" s="117"/>
      <c r="AA57" s="117"/>
      <c r="AB57" s="117"/>
      <c r="AC57" s="320"/>
      <c r="AD57" s="422"/>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320"/>
      <c r="BC57" s="1136"/>
      <c r="BF57" s="87" t="str">
        <f t="shared" si="4"/>
        <v>Добавить строку</v>
      </c>
      <c r="BI57" s="17">
        <v>11</v>
      </c>
    </row>
    <row r="58" spans="1:61" ht="0" hidden="1" customHeight="1">
      <c r="A58" s="72" t="s">
        <v>277</v>
      </c>
      <c r="B58" s="72" t="s">
        <v>278</v>
      </c>
      <c r="C58" s="72" t="s">
        <v>279</v>
      </c>
      <c r="D58" s="72" t="s">
        <v>530</v>
      </c>
      <c r="E58" s="1112"/>
      <c r="F58" s="1112"/>
      <c r="G58" s="1112"/>
      <c r="H58" s="1112"/>
      <c r="I58" s="1113"/>
      <c r="P58" s="964"/>
      <c r="R58" s="307"/>
      <c r="S58" s="367"/>
      <c r="T58" s="368"/>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70"/>
      <c r="BF58" s="87" t="str">
        <f t="shared" si="4"/>
        <v/>
      </c>
      <c r="BI58" s="75">
        <v>0</v>
      </c>
    </row>
    <row r="59" spans="1:61" ht="0" hidden="1" customHeight="1">
      <c r="A59" s="72" t="s">
        <v>277</v>
      </c>
      <c r="B59" s="72" t="s">
        <v>278</v>
      </c>
      <c r="C59" s="72" t="s">
        <v>279</v>
      </c>
      <c r="D59" s="72" t="s">
        <v>530</v>
      </c>
      <c r="E59" s="1112"/>
      <c r="F59" s="1112"/>
      <c r="G59" s="1112"/>
      <c r="H59" s="1111"/>
      <c r="R59" s="410"/>
      <c r="S59" s="367"/>
      <c r="T59" s="368"/>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70"/>
      <c r="BF59" s="87" t="str">
        <f t="shared" si="4"/>
        <v/>
      </c>
      <c r="BI59" s="75">
        <v>0</v>
      </c>
    </row>
    <row r="60" spans="1:61" ht="0" hidden="1" customHeight="1">
      <c r="A60" s="72" t="s">
        <v>277</v>
      </c>
      <c r="B60" s="72" t="s">
        <v>278</v>
      </c>
      <c r="C60" s="72" t="s">
        <v>279</v>
      </c>
      <c r="E60" s="1112"/>
      <c r="F60" s="1112"/>
      <c r="G60" s="1111"/>
      <c r="BF60" s="87" t="str">
        <f t="shared" si="4"/>
        <v/>
      </c>
      <c r="BI60" s="75">
        <v>0</v>
      </c>
    </row>
    <row r="61" spans="1:61" ht="0" hidden="1" customHeight="1">
      <c r="A61" s="72" t="s">
        <v>277</v>
      </c>
      <c r="B61" s="72" t="s">
        <v>278</v>
      </c>
      <c r="E61" s="1112"/>
      <c r="F61" s="1111"/>
      <c r="T61" s="329" t="s">
        <v>416</v>
      </c>
      <c r="BF61" s="87" t="str">
        <f t="shared" si="4"/>
        <v>Добавить централизованную систему для дифференциации</v>
      </c>
      <c r="BI61" s="75">
        <v>0</v>
      </c>
    </row>
    <row r="62" spans="1:61" ht="0" hidden="1" customHeight="1">
      <c r="A62" s="72" t="s">
        <v>277</v>
      </c>
      <c r="E62" s="1111"/>
      <c r="T62" s="329" t="s">
        <v>417</v>
      </c>
      <c r="BF62" s="87" t="str">
        <f t="shared" si="4"/>
        <v>Добавить территорию для дифференциации</v>
      </c>
      <c r="BI62" s="75">
        <v>0</v>
      </c>
    </row>
    <row r="63" spans="1:61" ht="0" hidden="1" customHeight="1">
      <c r="T63" s="329" t="s">
        <v>449</v>
      </c>
      <c r="BF63" s="87" t="str">
        <f t="shared" si="4"/>
        <v>Добавить наименование тарифа</v>
      </c>
      <c r="BI63" s="75">
        <v>0</v>
      </c>
    </row>
    <row r="64" spans="1:61" ht="11.45" customHeight="1">
      <c r="BI64" s="17">
        <v>11</v>
      </c>
    </row>
    <row r="65" spans="1:61" ht="14.65" customHeight="1">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I65" s="17">
        <v>14</v>
      </c>
    </row>
    <row r="66" spans="1:61" ht="14.65" customHeight="1">
      <c r="BI66" s="17">
        <v>14</v>
      </c>
    </row>
    <row r="67" spans="1:61" ht="14.65" customHeight="1">
      <c r="T67" s="964"/>
      <c r="U67" s="964"/>
      <c r="V67" s="964"/>
      <c r="W67" s="964"/>
      <c r="X67" s="964"/>
      <c r="Y67" s="964"/>
      <c r="Z67" s="964"/>
      <c r="AA67" s="964"/>
      <c r="AB67" s="964"/>
      <c r="AC67" s="964"/>
      <c r="AD67" s="964"/>
      <c r="AE67" s="964"/>
      <c r="AF67" s="964"/>
      <c r="AG67" s="964"/>
      <c r="AH67" s="964"/>
      <c r="AI67" s="964"/>
      <c r="AJ67" s="964"/>
      <c r="AK67" s="964"/>
      <c r="AL67" s="964"/>
      <c r="AM67" s="964"/>
      <c r="AN67" s="964"/>
      <c r="AO67" s="964"/>
      <c r="AP67" s="964"/>
      <c r="AQ67" s="964"/>
      <c r="AR67" s="964"/>
      <c r="AS67" s="964"/>
      <c r="AT67" s="964"/>
      <c r="AU67" s="964"/>
      <c r="AV67" s="964"/>
      <c r="AW67" s="964"/>
      <c r="AX67" s="964"/>
      <c r="AY67" s="964"/>
      <c r="AZ67" s="964"/>
      <c r="BA67" s="964"/>
      <c r="BB67" s="964"/>
      <c r="BC67" s="964"/>
      <c r="BI67" s="17">
        <v>14</v>
      </c>
    </row>
    <row r="68" spans="1:61" ht="14.65" customHeight="1">
      <c r="BI68" s="17">
        <v>14</v>
      </c>
    </row>
    <row r="69" spans="1:61" ht="14.25" hidden="1" customHeight="1">
      <c r="A69" s="37" t="s">
        <v>82</v>
      </c>
      <c r="B69" s="37">
        <v>0</v>
      </c>
      <c r="C69" s="37">
        <v>0</v>
      </c>
      <c r="D69" s="37">
        <v>0</v>
      </c>
      <c r="E69" s="37">
        <v>0</v>
      </c>
      <c r="F69" s="37">
        <v>0</v>
      </c>
      <c r="G69" s="37">
        <v>0</v>
      </c>
      <c r="H69" s="37">
        <v>0</v>
      </c>
      <c r="I69" s="37">
        <v>0</v>
      </c>
      <c r="J69" s="37">
        <v>0</v>
      </c>
      <c r="K69" s="37">
        <v>0</v>
      </c>
      <c r="L69" s="240">
        <v>0</v>
      </c>
      <c r="M69" s="41">
        <v>0</v>
      </c>
      <c r="N69" s="41">
        <v>0</v>
      </c>
      <c r="O69" s="41">
        <v>0</v>
      </c>
      <c r="P69" s="41">
        <v>0</v>
      </c>
      <c r="Q69" s="424">
        <v>0</v>
      </c>
      <c r="R69" s="357">
        <v>3</v>
      </c>
      <c r="S69" s="33">
        <v>12</v>
      </c>
      <c r="T69" s="17">
        <v>31</v>
      </c>
      <c r="U69" s="17">
        <v>0</v>
      </c>
      <c r="V69" s="17">
        <v>0</v>
      </c>
      <c r="W69" s="17">
        <v>0</v>
      </c>
      <c r="X69" s="17">
        <v>0</v>
      </c>
      <c r="Y69" s="17">
        <v>0</v>
      </c>
      <c r="Z69" s="17">
        <v>0</v>
      </c>
      <c r="AA69" s="17">
        <v>0</v>
      </c>
      <c r="AB69" s="17">
        <v>0</v>
      </c>
      <c r="AC69" s="17">
        <v>0</v>
      </c>
      <c r="AD69" s="17">
        <v>3</v>
      </c>
      <c r="AE69" s="17">
        <v>3</v>
      </c>
      <c r="AF69" s="17">
        <v>3</v>
      </c>
      <c r="AG69" s="17">
        <v>24</v>
      </c>
      <c r="AH69" s="17">
        <v>3</v>
      </c>
      <c r="AI69" s="17">
        <v>3</v>
      </c>
      <c r="AJ69" s="17">
        <v>3</v>
      </c>
      <c r="AK69" s="17">
        <v>24</v>
      </c>
      <c r="AL69" s="17">
        <v>3</v>
      </c>
      <c r="AM69" s="17">
        <v>3</v>
      </c>
      <c r="AN69" s="17">
        <v>3</v>
      </c>
      <c r="AO69" s="17">
        <v>18</v>
      </c>
      <c r="AP69" s="17">
        <v>3</v>
      </c>
      <c r="AQ69" s="17">
        <v>3</v>
      </c>
      <c r="AR69" s="17">
        <v>3</v>
      </c>
      <c r="AS69" s="17">
        <v>18</v>
      </c>
      <c r="AT69" s="17">
        <v>21</v>
      </c>
      <c r="AU69" s="17">
        <v>21</v>
      </c>
      <c r="AV69" s="17">
        <v>21</v>
      </c>
      <c r="AW69" s="17">
        <v>21</v>
      </c>
      <c r="AX69" s="17">
        <v>11</v>
      </c>
      <c r="AY69" s="17">
        <v>3</v>
      </c>
      <c r="AZ69" s="17">
        <v>11</v>
      </c>
      <c r="BA69" s="17">
        <v>0</v>
      </c>
      <c r="BB69" s="17">
        <v>4</v>
      </c>
      <c r="BC69" s="17">
        <v>115</v>
      </c>
      <c r="BD69" s="75">
        <v>10</v>
      </c>
      <c r="BE69" s="75">
        <v>10</v>
      </c>
      <c r="BF69" s="75">
        <v>10</v>
      </c>
      <c r="BG69" s="75">
        <v>10</v>
      </c>
      <c r="BH69" s="75">
        <v>10</v>
      </c>
      <c r="BI69" s="17">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967F-65C1-3776-1E29-5E2687776C8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3" width="19.7109375" customWidth="1"/>
    <col min="34" max="39" width="19" customWidth="1"/>
    <col min="40" max="40" width="11" customWidth="1"/>
    <col min="41" max="41" width="3.7109375" customWidth="1"/>
    <col min="42" max="42" width="11" customWidth="1"/>
    <col min="43" max="43" width="8.5703125" hidden="1" customWidth="1"/>
    <col min="44" max="44" width="4" customWidth="1"/>
    <col min="45" max="45" width="115" customWidth="1"/>
    <col min="46" max="50" width="10" customWidth="1"/>
    <col min="51" max="51" width="10.5703125" hidden="1"/>
  </cols>
  <sheetData>
    <row r="1" spans="5:51" ht="22.5" hidden="1" customHeight="1">
      <c r="AY1" s="17" t="s">
        <v>14</v>
      </c>
    </row>
    <row r="2" spans="5:51" ht="23.25" hidden="1" customHeight="1">
      <c r="E2" s="1111">
        <v>1</v>
      </c>
      <c r="R2" s="294"/>
      <c r="S2" s="295" t="e">
        <f>INDEX(PT_DIFFERENTIATION_NUM_NTAR,MATCH(A2,PT_DIFFERENTIATION_NTAR_ID,0))</f>
        <v>#N/A</v>
      </c>
      <c r="T2" s="296" t="s">
        <v>126</v>
      </c>
      <c r="U2" s="297"/>
      <c r="V2" s="1106"/>
      <c r="W2" s="1107"/>
      <c r="X2" s="1107"/>
      <c r="Y2" s="1107"/>
      <c r="Z2" s="1107"/>
      <c r="AA2" s="1107"/>
      <c r="AB2" s="1107"/>
      <c r="AC2" s="1107"/>
      <c r="AD2" s="1107"/>
      <c r="AE2" s="1107"/>
      <c r="AF2" s="1108"/>
      <c r="AG2" s="1106" t="e">
        <f>INDEX(PT_DIFFERENTIATION_NTAR,MATCH(A2,PT_DIFFERENTIATION_NTAR_ID,0))</f>
        <v>#N/A</v>
      </c>
      <c r="AH2" s="1107"/>
      <c r="AI2" s="1107"/>
      <c r="AJ2" s="1107"/>
      <c r="AK2" s="1107"/>
      <c r="AL2" s="1107"/>
      <c r="AM2" s="1107"/>
      <c r="AN2" s="1107"/>
      <c r="AO2" s="1107"/>
      <c r="AP2" s="1107"/>
      <c r="AQ2" s="1107"/>
      <c r="AR2" s="1108"/>
      <c r="AS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87" t="str">
        <f t="shared" ref="AV2:AV13" si="0">IF(T2="","",T2)</f>
        <v>Наименование тарифа</v>
      </c>
      <c r="AY2" s="17">
        <v>0</v>
      </c>
    </row>
    <row r="3" spans="5:51"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7"/>
      <c r="AD3" s="1107"/>
      <c r="AE3" s="1107"/>
      <c r="AF3" s="1108"/>
      <c r="AG3" s="1106" t="e">
        <f>INDEX(PT_DIFFERENTIATION_TER,MATCH(B3,PT_DIFFERENTIATION_TER_ID,0))</f>
        <v>#N/A</v>
      </c>
      <c r="AH3" s="1107"/>
      <c r="AI3" s="1107"/>
      <c r="AJ3" s="1107"/>
      <c r="AK3" s="1107"/>
      <c r="AL3" s="1107"/>
      <c r="AM3" s="1107"/>
      <c r="AN3" s="1107"/>
      <c r="AO3" s="1107"/>
      <c r="AP3" s="1107"/>
      <c r="AQ3" s="1107"/>
      <c r="AR3" s="1108"/>
      <c r="AS3" s="299" t="s">
        <v>399</v>
      </c>
      <c r="AV3" s="87" t="str">
        <f t="shared" si="0"/>
        <v>Территория действия тарифа</v>
      </c>
      <c r="AY3" s="17">
        <v>0</v>
      </c>
    </row>
    <row r="4" spans="5:51" ht="23.25" hidden="1" customHeight="1">
      <c r="E4" s="1112"/>
      <c r="F4" s="1112"/>
      <c r="G4" s="1111">
        <v>1</v>
      </c>
      <c r="Q4" s="300"/>
      <c r="R4" s="301"/>
      <c r="S4" s="295" t="e">
        <f>INDEX(PT_DIFFERENTIATION_NUM_CS,MATCH(C4,PT_DIFFERENTIATION_CS_ID,0))</f>
        <v>#N/A</v>
      </c>
      <c r="T4" s="303" t="s">
        <v>531</v>
      </c>
      <c r="U4" s="297"/>
      <c r="V4" s="1106"/>
      <c r="W4" s="1107"/>
      <c r="X4" s="1107"/>
      <c r="Y4" s="1107"/>
      <c r="Z4" s="1107"/>
      <c r="AA4" s="1107"/>
      <c r="AB4" s="1107"/>
      <c r="AC4" s="1107"/>
      <c r="AD4" s="1107"/>
      <c r="AE4" s="1107"/>
      <c r="AF4" s="1108"/>
      <c r="AG4" s="1106" t="e">
        <f>INDEX(PT_DIFFERENTIATION_CS,MATCH(C4,PT_DIFFERENTIATION_CS_ID,0))</f>
        <v>#N/A</v>
      </c>
      <c r="AH4" s="1107"/>
      <c r="AI4" s="1107"/>
      <c r="AJ4" s="1107"/>
      <c r="AK4" s="1107"/>
      <c r="AL4" s="1107"/>
      <c r="AM4" s="1107"/>
      <c r="AN4" s="1107"/>
      <c r="AO4" s="1107"/>
      <c r="AP4" s="1107"/>
      <c r="AQ4" s="1107"/>
      <c r="AR4" s="1108"/>
      <c r="AS4" s="299" t="s">
        <v>532</v>
      </c>
      <c r="AV4" s="87" t="str">
        <f t="shared" si="0"/>
        <v>Наименование централизованной системы горячего водоснабжения</v>
      </c>
      <c r="AY4" s="17">
        <v>0</v>
      </c>
    </row>
    <row r="5" spans="5:51"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0"/>
      <c r="AC5" s="1180"/>
      <c r="AD5" s="1180"/>
      <c r="AE5" s="1180"/>
      <c r="AF5" s="1181"/>
      <c r="AG5" s="1182"/>
      <c r="AH5" s="1183"/>
      <c r="AI5" s="1183"/>
      <c r="AJ5" s="1183"/>
      <c r="AK5" s="1183"/>
      <c r="AL5" s="1183"/>
      <c r="AM5" s="1183"/>
      <c r="AN5" s="1183"/>
      <c r="AO5" s="1183"/>
      <c r="AP5" s="1183"/>
      <c r="AQ5" s="1183"/>
      <c r="AR5" s="1184"/>
      <c r="AS5" s="299" t="s">
        <v>485</v>
      </c>
      <c r="AV5" s="87" t="str">
        <f t="shared" si="0"/>
        <v>Наименование признака дифференциации</v>
      </c>
      <c r="AY5" s="17">
        <v>0</v>
      </c>
    </row>
    <row r="6" spans="5:51"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1"/>
      <c r="AC6" s="1101"/>
      <c r="AD6" s="1101"/>
      <c r="AE6" s="1101"/>
      <c r="AF6" s="1102"/>
      <c r="AG6" s="1100"/>
      <c r="AH6" s="1101"/>
      <c r="AI6" s="1101"/>
      <c r="AJ6" s="1101"/>
      <c r="AK6" s="1101"/>
      <c r="AL6" s="1101"/>
      <c r="AM6" s="1101"/>
      <c r="AN6" s="1101"/>
      <c r="AO6" s="1101"/>
      <c r="AP6" s="1101"/>
      <c r="AQ6" s="1101"/>
      <c r="AR6" s="1102"/>
      <c r="AS6" s="386" t="s">
        <v>486</v>
      </c>
      <c r="AV6" s="87" t="str">
        <f t="shared" si="0"/>
        <v>Группа потребителей</v>
      </c>
      <c r="AY6" s="17">
        <v>0</v>
      </c>
    </row>
    <row r="7" spans="5:51" ht="23.25" hidden="1" customHeight="1">
      <c r="E7" s="1112"/>
      <c r="F7" s="1112"/>
      <c r="G7" s="1112"/>
      <c r="H7" s="1112"/>
      <c r="I7" s="1114"/>
      <c r="J7" s="1114"/>
      <c r="K7" s="1113" t="e">
        <f>J6&amp;".1"</f>
        <v>#N/A</v>
      </c>
      <c r="P7" s="964"/>
      <c r="Q7" s="964"/>
      <c r="R7" s="309">
        <v>1</v>
      </c>
      <c r="S7" s="295" t="e">
        <f>$K7</f>
        <v>#N/A</v>
      </c>
      <c r="T7" s="426"/>
      <c r="U7" s="297"/>
      <c r="V7" s="312"/>
      <c r="W7" s="312"/>
      <c r="X7" s="312"/>
      <c r="Y7" s="312"/>
      <c r="Z7" s="312"/>
      <c r="AA7" s="312"/>
      <c r="AB7" s="312"/>
      <c r="AC7" s="1116"/>
      <c r="AD7" s="1004" t="s">
        <v>66</v>
      </c>
      <c r="AE7" s="1116"/>
      <c r="AF7" s="1004" t="s">
        <v>66</v>
      </c>
      <c r="AG7" s="312"/>
      <c r="AH7" s="312"/>
      <c r="AI7" s="312"/>
      <c r="AJ7" s="312"/>
      <c r="AK7" s="312"/>
      <c r="AL7" s="312"/>
      <c r="AM7" s="312"/>
      <c r="AN7" s="1116"/>
      <c r="AO7" s="1004" t="s">
        <v>66</v>
      </c>
      <c r="AP7" s="1118"/>
      <c r="AQ7" s="1004" t="s">
        <v>66</v>
      </c>
      <c r="AR7" s="427"/>
      <c r="AS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 t="e">
        <f ca="1">STRCHECKDATE(V8:AR8)</f>
        <v>#NAME?</v>
      </c>
      <c r="AV7" s="87" t="str">
        <f t="shared" si="0"/>
        <v/>
      </c>
      <c r="AY7" s="17">
        <v>0</v>
      </c>
    </row>
    <row r="8" spans="5:51" ht="14.25" hidden="1" customHeight="1">
      <c r="E8" s="1112"/>
      <c r="F8" s="1112"/>
      <c r="G8" s="1112"/>
      <c r="H8" s="1112"/>
      <c r="I8" s="1114"/>
      <c r="J8" s="1114"/>
      <c r="K8" s="1113"/>
      <c r="P8" s="964"/>
      <c r="Q8" s="964"/>
      <c r="R8" s="309"/>
      <c r="S8" s="278"/>
      <c r="T8" s="297"/>
      <c r="U8" s="297"/>
      <c r="V8" s="313"/>
      <c r="W8" s="313"/>
      <c r="X8" s="313"/>
      <c r="Y8" s="313"/>
      <c r="Z8" s="313"/>
      <c r="AA8" s="313"/>
      <c r="AB8" s="313"/>
      <c r="AC8" s="1117"/>
      <c r="AD8" s="1004"/>
      <c r="AE8" s="1117"/>
      <c r="AF8" s="1004"/>
      <c r="AG8" s="313"/>
      <c r="AH8" s="313"/>
      <c r="AI8" s="313"/>
      <c r="AJ8" s="313"/>
      <c r="AK8" s="313"/>
      <c r="AL8" s="313"/>
      <c r="AM8" s="313"/>
      <c r="AN8" s="1117"/>
      <c r="AO8" s="1004"/>
      <c r="AP8" s="1119"/>
      <c r="AQ8" s="1004"/>
      <c r="AR8" s="428"/>
      <c r="AS8" s="1185"/>
      <c r="AV8" s="87" t="str">
        <f t="shared" si="0"/>
        <v/>
      </c>
      <c r="AY8" s="17">
        <v>0</v>
      </c>
    </row>
    <row r="9" spans="5:51"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299" t="s">
        <v>488</v>
      </c>
      <c r="AV9" s="87" t="str">
        <f t="shared" si="0"/>
        <v>Добавить значение признака дифференциации</v>
      </c>
      <c r="AY9" s="17">
        <v>0</v>
      </c>
    </row>
    <row r="10" spans="5:51" ht="21" hidden="1" customHeight="1">
      <c r="E10" s="1112"/>
      <c r="F10" s="1112"/>
      <c r="G10" s="1112"/>
      <c r="H10" s="1112"/>
      <c r="I10" s="1113"/>
      <c r="P10" s="964"/>
      <c r="R10" s="307"/>
      <c r="S10" s="318"/>
      <c r="T10" s="324" t="s">
        <v>413</v>
      </c>
      <c r="U10" s="117"/>
      <c r="V10" s="117"/>
      <c r="W10" s="117"/>
      <c r="X10" s="117"/>
      <c r="Y10" s="117"/>
      <c r="Z10" s="117"/>
      <c r="AA10" s="117"/>
      <c r="AB10" s="117"/>
      <c r="AC10" s="117"/>
      <c r="AD10" s="117"/>
      <c r="AE10" s="117"/>
      <c r="AF10" s="322"/>
      <c r="AG10" s="117"/>
      <c r="AH10" s="117"/>
      <c r="AI10" s="117"/>
      <c r="AJ10" s="117"/>
      <c r="AK10" s="117"/>
      <c r="AL10" s="117"/>
      <c r="AM10" s="117"/>
      <c r="AN10" s="117"/>
      <c r="AO10" s="117"/>
      <c r="AP10" s="117"/>
      <c r="AQ10" s="322"/>
      <c r="AR10" s="117"/>
      <c r="AS10" s="429"/>
      <c r="AV10" s="87" t="str">
        <f t="shared" si="0"/>
        <v>Добавить группу потребителей</v>
      </c>
      <c r="AY10" s="17">
        <v>0</v>
      </c>
    </row>
    <row r="11" spans="5:51" ht="21" hidden="1" customHeight="1">
      <c r="E11" s="1112"/>
      <c r="F11" s="1112"/>
      <c r="G11" s="1112"/>
      <c r="H11" s="1111"/>
      <c r="R11" s="294"/>
      <c r="S11" s="318"/>
      <c r="T11" s="430" t="s">
        <v>489</v>
      </c>
      <c r="U11" s="117"/>
      <c r="V11" s="117"/>
      <c r="W11" s="117"/>
      <c r="X11" s="117"/>
      <c r="Y11" s="117"/>
      <c r="Z11" s="117"/>
      <c r="AA11" s="117"/>
      <c r="AB11" s="117"/>
      <c r="AC11" s="117"/>
      <c r="AD11" s="117"/>
      <c r="AE11" s="117"/>
      <c r="AF11" s="322"/>
      <c r="AG11" s="117"/>
      <c r="AH11" s="117"/>
      <c r="AI11" s="117"/>
      <c r="AJ11" s="117"/>
      <c r="AK11" s="117"/>
      <c r="AL11" s="117"/>
      <c r="AM11" s="117"/>
      <c r="AN11" s="117"/>
      <c r="AO11" s="117"/>
      <c r="AP11" s="117"/>
      <c r="AQ11" s="322"/>
      <c r="AR11" s="117"/>
      <c r="AS11" s="323"/>
      <c r="AV11" s="87" t="str">
        <f t="shared" si="0"/>
        <v>Добавить наименование признака дифференциации</v>
      </c>
      <c r="AY11" s="17">
        <v>0</v>
      </c>
    </row>
    <row r="12" spans="5:51" ht="14.25" hidden="1" customHeight="1">
      <c r="E12" s="1112"/>
      <c r="F12" s="1111"/>
      <c r="T12" s="329" t="s">
        <v>416</v>
      </c>
      <c r="AV12" s="87" t="str">
        <f t="shared" si="0"/>
        <v>Добавить централизованную систему для дифференциации</v>
      </c>
      <c r="AY12" s="75">
        <v>0</v>
      </c>
    </row>
    <row r="13" spans="5:51" ht="14.25" hidden="1" customHeight="1">
      <c r="E13" s="1111"/>
      <c r="T13" s="329" t="s">
        <v>417</v>
      </c>
      <c r="AV13" s="87" t="str">
        <f t="shared" si="0"/>
        <v>Добавить территорию для дифференциации</v>
      </c>
      <c r="AY13" s="75">
        <v>0</v>
      </c>
    </row>
    <row r="14" spans="5:51" ht="14.25" hidden="1" customHeight="1">
      <c r="AY14" s="17">
        <v>0</v>
      </c>
    </row>
    <row r="15" spans="5:51" ht="14.25" hidden="1" customHeight="1">
      <c r="AG15" s="330"/>
      <c r="AH15" s="330"/>
      <c r="AI15" s="330"/>
      <c r="AJ15" s="330"/>
      <c r="AK15" s="330"/>
      <c r="AL15" s="330"/>
      <c r="AM15" s="330"/>
      <c r="AN15" s="1110"/>
      <c r="AO15" s="1109" t="s">
        <v>66</v>
      </c>
      <c r="AP15" s="1110"/>
      <c r="AQ15" s="1109" t="s">
        <v>66</v>
      </c>
      <c r="AY15" s="17">
        <v>0</v>
      </c>
    </row>
    <row r="16" spans="5:51" ht="14.25" hidden="1" customHeight="1">
      <c r="AG16" s="330"/>
      <c r="AH16" s="330"/>
      <c r="AI16" s="330"/>
      <c r="AJ16" s="330"/>
      <c r="AK16" s="330"/>
      <c r="AL16" s="330"/>
      <c r="AM16" s="330"/>
      <c r="AN16" s="1109"/>
      <c r="AO16" s="1109"/>
      <c r="AP16" s="1109"/>
      <c r="AQ16" s="1109"/>
      <c r="AY16" s="17">
        <v>0</v>
      </c>
    </row>
    <row r="17" spans="15:51" ht="14.25" hidden="1" customHeight="1">
      <c r="AY17" s="17">
        <v>0</v>
      </c>
    </row>
    <row r="18" spans="15:51" ht="22.5" hidden="1" customHeight="1">
      <c r="O18" s="332" t="s">
        <v>418</v>
      </c>
      <c r="AC18" s="332"/>
      <c r="AE18" s="332"/>
      <c r="AN18" s="332"/>
      <c r="AP18" s="332"/>
      <c r="AY18" s="37">
        <v>0</v>
      </c>
    </row>
    <row r="19" spans="15:51" ht="14.25" hidden="1" customHeight="1">
      <c r="AY19" s="37">
        <v>0</v>
      </c>
    </row>
    <row r="20" spans="15:51" ht="12" hidden="1" customHeight="1">
      <c r="O20" s="306" t="s">
        <v>419</v>
      </c>
      <c r="T20" s="37" t="s">
        <v>420</v>
      </c>
      <c r="AD20" s="126" t="s">
        <v>421</v>
      </c>
      <c r="AF20" s="126" t="s">
        <v>422</v>
      </c>
      <c r="AG20" s="37" t="s">
        <v>420</v>
      </c>
      <c r="AO20" s="126" t="s">
        <v>423</v>
      </c>
      <c r="AQ20" s="126" t="s">
        <v>422</v>
      </c>
      <c r="AY20" s="37">
        <v>0</v>
      </c>
    </row>
    <row r="21" spans="15:51" ht="14.25" hidden="1" customHeight="1">
      <c r="AY21" s="17">
        <v>0</v>
      </c>
    </row>
    <row r="22" spans="15:51" ht="14.25" hidden="1" customHeight="1">
      <c r="AY22" s="17">
        <v>0</v>
      </c>
    </row>
    <row r="23" spans="15:51" ht="14.65" customHeight="1">
      <c r="Q23" s="333"/>
      <c r="R23" s="333"/>
      <c r="S23" s="334"/>
      <c r="T23" s="38"/>
      <c r="U23" s="38"/>
      <c r="AY23" s="17">
        <v>14</v>
      </c>
    </row>
    <row r="24" spans="15:51" ht="26.25" customHeight="1">
      <c r="Q24" s="333"/>
      <c r="R24" s="333"/>
      <c r="S24" s="10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Y24" s="17">
        <v>25</v>
      </c>
    </row>
    <row r="25" spans="15:51"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Y25" s="17">
        <v>14</v>
      </c>
    </row>
    <row r="26" spans="15:51" ht="14.25" hidden="1" customHeight="1">
      <c r="Q26" s="333"/>
      <c r="R26" s="333"/>
      <c r="S26" s="334"/>
      <c r="T26" s="38"/>
      <c r="U26" s="38"/>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Y26" s="17">
        <v>0</v>
      </c>
    </row>
    <row r="27" spans="15:51" ht="25.5" hidden="1" customHeight="1">
      <c r="S27" s="1103" t="s">
        <v>42</v>
      </c>
      <c r="T27" s="1103"/>
      <c r="U27" s="337"/>
      <c r="V27" s="1105" t="str">
        <f>IF(TITLE_NAME_OR_PR_CHANGE="",IF(TITLE_NAME_OR_PR="","",TITLE_NAME_OR_PR),TITLE_NAME_OR_PR_CHANGE)</f>
        <v/>
      </c>
      <c r="W27" s="1105"/>
      <c r="X27" s="1105"/>
      <c r="Y27" s="1105"/>
      <c r="Z27" s="1105"/>
      <c r="AA27" s="1105"/>
      <c r="AB27" s="1105"/>
      <c r="AC27" s="1105"/>
      <c r="AD27" s="1105"/>
      <c r="AE27" s="1105"/>
      <c r="AG27" s="1105" t="str">
        <f>IF(TITLE_NAME_OR_PR_CHANGE="",IF(TITLE_NAME_OR_PR="","",TITLE_NAME_OR_PR),TITLE_NAME_OR_PR_CHANGE)</f>
        <v/>
      </c>
      <c r="AH27" s="1105"/>
      <c r="AI27" s="1105"/>
      <c r="AJ27" s="1105"/>
      <c r="AK27" s="1105"/>
      <c r="AL27" s="1105"/>
      <c r="AM27" s="1105"/>
      <c r="AN27" s="1105"/>
      <c r="AO27" s="1105"/>
      <c r="AP27" s="1105"/>
      <c r="AY27" s="111">
        <v>0</v>
      </c>
    </row>
    <row r="28" spans="15:51" ht="18.75" hidden="1" customHeight="1">
      <c r="S28" s="1103" t="s">
        <v>424</v>
      </c>
      <c r="T28" s="1103"/>
      <c r="U28" s="337"/>
      <c r="V28" s="1104" t="str">
        <f>IF(TITLE_DATE_PR_CHANGE="",IF(TITLE_DATE_PR="","",TITLE_DATE_PR),TITLE_DATE_PR_CHANGE)</f>
        <v/>
      </c>
      <c r="W28" s="1104"/>
      <c r="X28" s="1104"/>
      <c r="Y28" s="1104"/>
      <c r="Z28" s="1104"/>
      <c r="AA28" s="1104"/>
      <c r="AB28" s="1104"/>
      <c r="AC28" s="1104"/>
      <c r="AD28" s="1104"/>
      <c r="AE28" s="1104"/>
      <c r="AG28" s="1104" t="str">
        <f>IF(TITLE_DATE_PR_CHANGE="",IF(TITLE_DATE_PR="","",TITLE_DATE_PR),TITLE_DATE_PR_CHANGE)</f>
        <v/>
      </c>
      <c r="AH28" s="1104"/>
      <c r="AI28" s="1104"/>
      <c r="AJ28" s="1104"/>
      <c r="AK28" s="1104"/>
      <c r="AL28" s="1104"/>
      <c r="AM28" s="1104"/>
      <c r="AN28" s="1104"/>
      <c r="AO28" s="1104"/>
      <c r="AP28" s="1104"/>
      <c r="AY28" s="111">
        <v>0</v>
      </c>
    </row>
    <row r="29" spans="15:51" ht="18.75" hidden="1" customHeight="1">
      <c r="S29" s="1103" t="s">
        <v>425</v>
      </c>
      <c r="T29" s="1103"/>
      <c r="U29" s="337"/>
      <c r="V29" s="1105" t="str">
        <f>IF(TITLE_NUMBER_PR_CHANGE="",IF(TITLE_NUMBER_PR="","",TITLE_NUMBER_PR),TITLE_NUMBER_PR_CHANGE)</f>
        <v/>
      </c>
      <c r="W29" s="1105"/>
      <c r="X29" s="1105"/>
      <c r="Y29" s="1105"/>
      <c r="Z29" s="1105"/>
      <c r="AA29" s="1105"/>
      <c r="AB29" s="1105"/>
      <c r="AC29" s="1105"/>
      <c r="AD29" s="1105"/>
      <c r="AE29" s="1105"/>
      <c r="AG29" s="1105" t="str">
        <f>IF(TITLE_NUMBER_PR_CHANGE="",IF(TITLE_NUMBER_PR="","",TITLE_NUMBER_PR),TITLE_NUMBER_PR_CHANGE)</f>
        <v/>
      </c>
      <c r="AH29" s="1105"/>
      <c r="AI29" s="1105"/>
      <c r="AJ29" s="1105"/>
      <c r="AK29" s="1105"/>
      <c r="AL29" s="1105"/>
      <c r="AM29" s="1105"/>
      <c r="AN29" s="1105"/>
      <c r="AO29" s="1105"/>
      <c r="AP29" s="1105"/>
      <c r="AY29" s="111">
        <v>0</v>
      </c>
    </row>
    <row r="30" spans="15:51" ht="18.75" hidden="1" customHeight="1">
      <c r="S30" s="1103" t="s">
        <v>43</v>
      </c>
      <c r="T30" s="1103"/>
      <c r="U30" s="337"/>
      <c r="V30" s="1105" t="str">
        <f>IF(TITLE_IST_PUB_CHANGE="",IF(TITLE_IST_PUB="","",TITLE_IST_PUB),TITLE_IST_PUB_CHANGE)</f>
        <v/>
      </c>
      <c r="W30" s="1105"/>
      <c r="X30" s="1105"/>
      <c r="Y30" s="1105"/>
      <c r="Z30" s="1105"/>
      <c r="AA30" s="1105"/>
      <c r="AB30" s="1105"/>
      <c r="AC30" s="1105"/>
      <c r="AD30" s="1105"/>
      <c r="AE30" s="1105"/>
      <c r="AG30" s="1105" t="str">
        <f>IF(TITLE_IST_PUB_CHANGE="",IF(TITLE_IST_PUB="","",TITLE_IST_PUB),TITLE_IST_PUB_CHANGE)</f>
        <v/>
      </c>
      <c r="AH30" s="1105"/>
      <c r="AI30" s="1105"/>
      <c r="AJ30" s="1105"/>
      <c r="AK30" s="1105"/>
      <c r="AL30" s="1105"/>
      <c r="AM30" s="1105"/>
      <c r="AN30" s="1105"/>
      <c r="AO30" s="1105"/>
      <c r="AP30" s="1105"/>
      <c r="AY30" s="111">
        <v>0</v>
      </c>
    </row>
    <row r="31" spans="15:51" ht="14.25" hidden="1" customHeight="1">
      <c r="Q31" s="333"/>
      <c r="R31" s="333"/>
      <c r="S31" s="334"/>
      <c r="T31" s="38"/>
      <c r="U31" s="38"/>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Y31" s="17">
        <v>0</v>
      </c>
    </row>
    <row r="32" spans="15:51" ht="18.75" hidden="1" customHeight="1">
      <c r="S32" s="1103" t="s">
        <v>426</v>
      </c>
      <c r="T32" s="1103"/>
      <c r="U32" s="337"/>
      <c r="V32" s="1104" t="str">
        <f>IF(TITLE_DATE_PR_CHANGE="",IF(TITLE_DATE_PR="","",TITLE_DATE_PR),TITLE_DATE_PR_CHANGE)</f>
        <v/>
      </c>
      <c r="W32" s="1104"/>
      <c r="X32" s="1104"/>
      <c r="Y32" s="1104"/>
      <c r="Z32" s="1104"/>
      <c r="AA32" s="1104"/>
      <c r="AB32" s="1104"/>
      <c r="AC32" s="1104"/>
      <c r="AD32" s="1104"/>
      <c r="AE32" s="1104"/>
      <c r="AG32" s="1104" t="str">
        <f>IF(TITLE_DATE_PR_CHANGE="",IF(TITLE_DATE_PR="","",TITLE_DATE_PR),TITLE_DATE_PR_CHANGE)</f>
        <v/>
      </c>
      <c r="AH32" s="1104"/>
      <c r="AI32" s="1104"/>
      <c r="AJ32" s="1104"/>
      <c r="AK32" s="1104"/>
      <c r="AL32" s="1104"/>
      <c r="AM32" s="1104"/>
      <c r="AN32" s="1104"/>
      <c r="AO32" s="1104"/>
      <c r="AP32" s="1104"/>
      <c r="AY32" s="111">
        <v>0</v>
      </c>
    </row>
    <row r="33" spans="1:51" ht="18.75" hidden="1" customHeight="1">
      <c r="S33" s="1103" t="s">
        <v>427</v>
      </c>
      <c r="T33" s="1103"/>
      <c r="U33" s="337"/>
      <c r="V33" s="1105" t="str">
        <f>IF(TITLE_NUMBER_PR_CHANGE="",IF(TITLE_NUMBER_PR="","",TITLE_NUMBER_PR),TITLE_NUMBER_PR_CHANGE)</f>
        <v/>
      </c>
      <c r="W33" s="1105"/>
      <c r="X33" s="1105"/>
      <c r="Y33" s="1105"/>
      <c r="Z33" s="1105"/>
      <c r="AA33" s="1105"/>
      <c r="AB33" s="1105"/>
      <c r="AC33" s="1105"/>
      <c r="AD33" s="1105"/>
      <c r="AE33" s="1105"/>
      <c r="AG33" s="1105" t="str">
        <f>IF(TITLE_NUMBER_PR_CHANGE="",IF(TITLE_NUMBER_PR="","",TITLE_NUMBER_PR),TITLE_NUMBER_PR_CHANGE)</f>
        <v/>
      </c>
      <c r="AH33" s="1105"/>
      <c r="AI33" s="1105"/>
      <c r="AJ33" s="1105"/>
      <c r="AK33" s="1105"/>
      <c r="AL33" s="1105"/>
      <c r="AM33" s="1105"/>
      <c r="AN33" s="1105"/>
      <c r="AO33" s="1105"/>
      <c r="AP33" s="1105"/>
      <c r="AY33" s="111">
        <v>0</v>
      </c>
    </row>
    <row r="34" spans="1:51" ht="1.1499999999999999" customHeight="1">
      <c r="AF34" s="75" t="s">
        <v>428</v>
      </c>
      <c r="AQ34" s="75" t="s">
        <v>428</v>
      </c>
      <c r="AY34" s="111">
        <v>1</v>
      </c>
    </row>
    <row r="35" spans="1:51" ht="14.65" customHeight="1">
      <c r="Q35" s="333"/>
      <c r="R35" s="333"/>
      <c r="S35" s="334"/>
      <c r="T35" s="38"/>
      <c r="U35" s="339"/>
      <c r="V35" s="1123"/>
      <c r="W35" s="1123"/>
      <c r="X35" s="1123"/>
      <c r="Y35" s="1123"/>
      <c r="Z35" s="1123"/>
      <c r="AA35" s="1123"/>
      <c r="AB35" s="1123"/>
      <c r="AC35" s="1123"/>
      <c r="AD35" s="1123"/>
      <c r="AE35" s="1123"/>
      <c r="AF35" s="1123"/>
      <c r="AG35" s="1123"/>
      <c r="AH35" s="1123"/>
      <c r="AI35" s="1123"/>
      <c r="AJ35" s="1123"/>
      <c r="AK35" s="1123"/>
      <c r="AL35" s="1123"/>
      <c r="AM35" s="1123"/>
      <c r="AN35" s="1123"/>
      <c r="AO35" s="1123"/>
      <c r="AP35" s="1123"/>
      <c r="AQ35" s="1123"/>
      <c r="AY35" s="17">
        <v>14</v>
      </c>
    </row>
    <row r="36" spans="1:51"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t="s">
        <v>302</v>
      </c>
      <c r="AY36" s="17">
        <v>14</v>
      </c>
    </row>
    <row r="37" spans="1:51" ht="14.65" customHeight="1">
      <c r="Q37" s="333"/>
      <c r="R37" s="333"/>
      <c r="S37" s="1124" t="s">
        <v>88</v>
      </c>
      <c r="T37" s="1073" t="s">
        <v>429</v>
      </c>
      <c r="U37" s="341"/>
      <c r="V37" s="1125" t="s">
        <v>430</v>
      </c>
      <c r="W37" s="1141"/>
      <c r="X37" s="1141"/>
      <c r="Y37" s="1141"/>
      <c r="Z37" s="1141"/>
      <c r="AA37" s="1141"/>
      <c r="AB37" s="1141"/>
      <c r="AC37" s="1126"/>
      <c r="AD37" s="1126"/>
      <c r="AE37" s="1127"/>
      <c r="AF37" s="1128" t="s">
        <v>431</v>
      </c>
      <c r="AG37" s="1125" t="s">
        <v>430</v>
      </c>
      <c r="AH37" s="1126"/>
      <c r="AI37" s="1126"/>
      <c r="AJ37" s="1126"/>
      <c r="AK37" s="1126"/>
      <c r="AL37" s="1126"/>
      <c r="AM37" s="1126"/>
      <c r="AN37" s="1126"/>
      <c r="AO37" s="1126"/>
      <c r="AP37" s="1127"/>
      <c r="AQ37" s="1128" t="s">
        <v>432</v>
      </c>
      <c r="AR37" s="1131" t="s">
        <v>433</v>
      </c>
      <c r="AS37" s="995"/>
      <c r="AY37" s="17">
        <v>14</v>
      </c>
    </row>
    <row r="38" spans="1:51" ht="19.899999999999999" customHeight="1">
      <c r="Q38" s="333"/>
      <c r="R38" s="333"/>
      <c r="S38" s="1124"/>
      <c r="T38" s="1073"/>
      <c r="U38" s="343"/>
      <c r="V38" s="995" t="s">
        <v>533</v>
      </c>
      <c r="W38" s="1069" t="s">
        <v>534</v>
      </c>
      <c r="X38" s="1069"/>
      <c r="Y38" s="1069"/>
      <c r="Z38" s="1069" t="s">
        <v>535</v>
      </c>
      <c r="AA38" s="1069"/>
      <c r="AB38" s="1069"/>
      <c r="AC38" s="1047" t="s">
        <v>437</v>
      </c>
      <c r="AD38" s="1153"/>
      <c r="AE38" s="1048"/>
      <c r="AF38" s="1129"/>
      <c r="AG38" s="995" t="s">
        <v>533</v>
      </c>
      <c r="AH38" s="1069" t="s">
        <v>534</v>
      </c>
      <c r="AI38" s="1069"/>
      <c r="AJ38" s="1069"/>
      <c r="AK38" s="1069" t="s">
        <v>535</v>
      </c>
      <c r="AL38" s="1069"/>
      <c r="AM38" s="1069"/>
      <c r="AN38" s="1047" t="s">
        <v>437</v>
      </c>
      <c r="AO38" s="1153"/>
      <c r="AP38" s="1048"/>
      <c r="AQ38" s="1129"/>
      <c r="AR38" s="1132"/>
      <c r="AS38" s="995"/>
      <c r="AY38" s="17">
        <v>19</v>
      </c>
    </row>
    <row r="39" spans="1:51" ht="19.899999999999999" customHeight="1">
      <c r="Q39" s="333"/>
      <c r="R39" s="333"/>
      <c r="S39" s="1124"/>
      <c r="T39" s="1073"/>
      <c r="U39" s="343"/>
      <c r="V39" s="995"/>
      <c r="W39" s="1069" t="s">
        <v>536</v>
      </c>
      <c r="X39" s="1069" t="s">
        <v>537</v>
      </c>
      <c r="Y39" s="1069"/>
      <c r="Z39" s="1069" t="s">
        <v>538</v>
      </c>
      <c r="AA39" s="1069" t="s">
        <v>537</v>
      </c>
      <c r="AB39" s="1069"/>
      <c r="AC39" s="1052"/>
      <c r="AD39" s="1154"/>
      <c r="AE39" s="1053"/>
      <c r="AF39" s="1129"/>
      <c r="AG39" s="995"/>
      <c r="AH39" s="1069" t="s">
        <v>536</v>
      </c>
      <c r="AI39" s="1069" t="s">
        <v>537</v>
      </c>
      <c r="AJ39" s="1069"/>
      <c r="AK39" s="1069" t="s">
        <v>538</v>
      </c>
      <c r="AL39" s="1069" t="s">
        <v>537</v>
      </c>
      <c r="AM39" s="1069"/>
      <c r="AN39" s="1052"/>
      <c r="AO39" s="1154"/>
      <c r="AP39" s="1053"/>
      <c r="AQ39" s="1129"/>
      <c r="AR39" s="1132"/>
      <c r="AS39" s="995"/>
      <c r="AY39" s="17">
        <v>19</v>
      </c>
    </row>
    <row r="40" spans="1:51" ht="61.9" customHeight="1">
      <c r="B40" s="126" t="s">
        <v>138</v>
      </c>
      <c r="C40" s="126" t="s">
        <v>139</v>
      </c>
      <c r="D40" s="126" t="s">
        <v>140</v>
      </c>
      <c r="E40" s="306" t="s">
        <v>438</v>
      </c>
      <c r="F40" s="306" t="s">
        <v>439</v>
      </c>
      <c r="G40" s="306" t="s">
        <v>440</v>
      </c>
      <c r="I40" s="306" t="s">
        <v>491</v>
      </c>
      <c r="J40" s="306" t="s">
        <v>443</v>
      </c>
      <c r="K40" s="306" t="s">
        <v>492</v>
      </c>
      <c r="L40" s="306" t="s">
        <v>419</v>
      </c>
      <c r="Q40" s="333"/>
      <c r="R40" s="333"/>
      <c r="S40" s="1124"/>
      <c r="T40" s="1073"/>
      <c r="U40" s="344"/>
      <c r="V40" s="995"/>
      <c r="W40" s="1069"/>
      <c r="X40" s="187" t="s">
        <v>539</v>
      </c>
      <c r="Y40" s="187" t="s">
        <v>540</v>
      </c>
      <c r="Z40" s="1069"/>
      <c r="AA40" s="187" t="s">
        <v>541</v>
      </c>
      <c r="AB40" s="187" t="s">
        <v>542</v>
      </c>
      <c r="AC40" s="134" t="s">
        <v>447</v>
      </c>
      <c r="AD40" s="1078" t="s">
        <v>448</v>
      </c>
      <c r="AE40" s="1092"/>
      <c r="AF40" s="1130"/>
      <c r="AG40" s="995"/>
      <c r="AH40" s="1069"/>
      <c r="AI40" s="187" t="s">
        <v>539</v>
      </c>
      <c r="AJ40" s="187" t="s">
        <v>540</v>
      </c>
      <c r="AK40" s="1069"/>
      <c r="AL40" s="187" t="s">
        <v>541</v>
      </c>
      <c r="AM40" s="187" t="s">
        <v>542</v>
      </c>
      <c r="AN40" s="134" t="s">
        <v>447</v>
      </c>
      <c r="AO40" s="1078" t="s">
        <v>448</v>
      </c>
      <c r="AP40" s="1092"/>
      <c r="AQ40" s="1130"/>
      <c r="AR40" s="1133"/>
      <c r="AS40" s="995"/>
      <c r="AY40" s="17">
        <v>59</v>
      </c>
    </row>
    <row r="41" spans="1:51" ht="11.25" hidden="1" customHeight="1">
      <c r="Q41" s="347"/>
      <c r="R41" s="348">
        <v>1</v>
      </c>
      <c r="S41" s="349" t="s">
        <v>110</v>
      </c>
      <c r="T41" s="350" t="s">
        <v>111</v>
      </c>
      <c r="U41" s="351" t="str">
        <f ca="1">OFFSET(U41,0,-1)</f>
        <v>2</v>
      </c>
      <c r="V41" s="352">
        <f ca="1">OFFSET(V41,0,-1)+1</f>
        <v>3</v>
      </c>
      <c r="W41" s="254"/>
      <c r="X41" s="254"/>
      <c r="Y41" s="254"/>
      <c r="Z41" s="254"/>
      <c r="AA41" s="254"/>
      <c r="AB41" s="254"/>
      <c r="AC41" s="352">
        <f ca="1">OFFSET(AC41,0,-1)+1</f>
        <v>1</v>
      </c>
      <c r="AD41" s="1122">
        <f ca="1">OFFSET(AD41,0,-1)+1</f>
        <v>2</v>
      </c>
      <c r="AE41" s="1122"/>
      <c r="AF41" s="352">
        <f ca="1">OFFSET(AF41,0,-2)+1</f>
        <v>3</v>
      </c>
      <c r="AG41" s="352">
        <f ca="1">OFFSET(AG41,0,-1)+1</f>
        <v>4</v>
      </c>
      <c r="AH41" s="352"/>
      <c r="AI41" s="352"/>
      <c r="AJ41" s="352"/>
      <c r="AK41" s="352"/>
      <c r="AL41" s="352"/>
      <c r="AM41" s="352">
        <f ca="1">OFFSET(AM41,0,-1)+1</f>
        <v>1</v>
      </c>
      <c r="AN41" s="352">
        <f ca="1">OFFSET(AN41,0,-1)+1</f>
        <v>2</v>
      </c>
      <c r="AO41" s="1122">
        <f ca="1">OFFSET(AO41,0,-1)+1</f>
        <v>3</v>
      </c>
      <c r="AP41" s="1122"/>
      <c r="AQ41" s="352">
        <f ca="1">OFFSET(AQ41,0,-2)+1</f>
        <v>4</v>
      </c>
      <c r="AR41" s="351">
        <f ca="1">OFFSET(AR41,0,-1)</f>
        <v>4</v>
      </c>
      <c r="AS41" s="352">
        <f ca="1">OFFSET(AS41,0,-1)+1</f>
        <v>5</v>
      </c>
      <c r="AY41" s="258">
        <v>0</v>
      </c>
    </row>
    <row r="42" spans="1:51" ht="24" customHeight="1">
      <c r="A42" s="353" t="s">
        <v>252</v>
      </c>
      <c r="E42" s="1111">
        <v>1</v>
      </c>
      <c r="R42" s="294"/>
      <c r="S42" s="295">
        <f>INDEX(PT_DIFFERENTIATION_NUM_NTAR,MATCH(A42,PT_DIFFERENTIATION_NTAR_ID,0))</f>
        <v>0</v>
      </c>
      <c r="T42" s="296" t="s">
        <v>126</v>
      </c>
      <c r="U42" s="297"/>
      <c r="V42" s="1106"/>
      <c r="W42" s="1107"/>
      <c r="X42" s="1107"/>
      <c r="Y42" s="1107"/>
      <c r="Z42" s="1107"/>
      <c r="AA42" s="1107"/>
      <c r="AB42" s="1107"/>
      <c r="AC42" s="1107"/>
      <c r="AD42" s="1107"/>
      <c r="AE42" s="1107"/>
      <c r="AF42" s="1108"/>
      <c r="AG42" s="1106" t="str">
        <f>INDEX(PT_DIFFERENTIATION_NTAR,MATCH(A42,PT_DIFFERENTIATION_NTAR_ID,0))</f>
        <v/>
      </c>
      <c r="AH42" s="1107"/>
      <c r="AI42" s="1107"/>
      <c r="AJ42" s="1107"/>
      <c r="AK42" s="1107"/>
      <c r="AL42" s="1107"/>
      <c r="AM42" s="1107"/>
      <c r="AN42" s="1107"/>
      <c r="AO42" s="1107"/>
      <c r="AP42" s="1107"/>
      <c r="AQ42" s="1107"/>
      <c r="AR42" s="1108"/>
      <c r="AS4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87" t="str">
        <f t="shared" ref="AV42:AV54" si="1">IF(T42="","",T42)</f>
        <v>Наименование тарифа</v>
      </c>
      <c r="AY42" s="17">
        <v>23</v>
      </c>
    </row>
    <row r="43" spans="1:51" ht="24" customHeight="1">
      <c r="A43" s="353" t="s">
        <v>252</v>
      </c>
      <c r="B43" s="353" t="s">
        <v>253</v>
      </c>
      <c r="E43" s="1112"/>
      <c r="F43" s="1111">
        <v>1</v>
      </c>
      <c r="Q43" s="300"/>
      <c r="R43" s="301"/>
      <c r="S43" s="295" t="str">
        <f>INDEX(PT_DIFFERENTIATION_NUM_TER,MATCH(B43,PT_DIFFERENTIATION_TER_ID,0))</f>
        <v>.</v>
      </c>
      <c r="T43" s="302" t="s">
        <v>398</v>
      </c>
      <c r="U43" s="297"/>
      <c r="V43" s="1106"/>
      <c r="W43" s="1107"/>
      <c r="X43" s="1107"/>
      <c r="Y43" s="1107"/>
      <c r="Z43" s="1107"/>
      <c r="AA43" s="1107"/>
      <c r="AB43" s="1107"/>
      <c r="AC43" s="1107"/>
      <c r="AD43" s="1107"/>
      <c r="AE43" s="1107"/>
      <c r="AF43" s="1108"/>
      <c r="AG43" s="1106" t="str">
        <f>INDEX(PT_DIFFERENTIATION_TER,MATCH(B43,PT_DIFFERENTIATION_TER_ID,0))</f>
        <v/>
      </c>
      <c r="AH43" s="1107"/>
      <c r="AI43" s="1107"/>
      <c r="AJ43" s="1107"/>
      <c r="AK43" s="1107"/>
      <c r="AL43" s="1107"/>
      <c r="AM43" s="1107"/>
      <c r="AN43" s="1107"/>
      <c r="AO43" s="1107"/>
      <c r="AP43" s="1107"/>
      <c r="AQ43" s="1107"/>
      <c r="AR43" s="1108"/>
      <c r="AS43" s="299" t="s">
        <v>399</v>
      </c>
      <c r="AV43" s="87" t="str">
        <f t="shared" si="1"/>
        <v>Территория действия тарифа</v>
      </c>
      <c r="AY43" s="17">
        <v>23</v>
      </c>
    </row>
    <row r="44" spans="1:51" ht="24" customHeight="1">
      <c r="A44" s="353" t="s">
        <v>252</v>
      </c>
      <c r="B44" s="353" t="s">
        <v>253</v>
      </c>
      <c r="C44" s="353" t="s">
        <v>254</v>
      </c>
      <c r="E44" s="1112"/>
      <c r="F44" s="1112"/>
      <c r="G44" s="1111">
        <v>1</v>
      </c>
      <c r="Q44" s="300"/>
      <c r="R44" s="301"/>
      <c r="S44" s="295" t="str">
        <f>INDEX(PT_DIFFERENTIATION_NUM_CS,MATCH(C44,PT_DIFFERENTIATION_CS_ID,0))</f>
        <v>..</v>
      </c>
      <c r="T44" s="303" t="s">
        <v>531</v>
      </c>
      <c r="U44" s="297"/>
      <c r="V44" s="1106"/>
      <c r="W44" s="1107"/>
      <c r="X44" s="1107"/>
      <c r="Y44" s="1107"/>
      <c r="Z44" s="1107"/>
      <c r="AA44" s="1107"/>
      <c r="AB44" s="1107"/>
      <c r="AC44" s="1107"/>
      <c r="AD44" s="1107"/>
      <c r="AE44" s="1107"/>
      <c r="AF44" s="1108"/>
      <c r="AG44" s="1106" t="str">
        <f>INDEX(PT_DIFFERENTIATION_CS,MATCH(C44,PT_DIFFERENTIATION_CS_ID,0))</f>
        <v/>
      </c>
      <c r="AH44" s="1107"/>
      <c r="AI44" s="1107"/>
      <c r="AJ44" s="1107"/>
      <c r="AK44" s="1107"/>
      <c r="AL44" s="1107"/>
      <c r="AM44" s="1107"/>
      <c r="AN44" s="1107"/>
      <c r="AO44" s="1107"/>
      <c r="AP44" s="1107"/>
      <c r="AQ44" s="1107"/>
      <c r="AR44" s="1108"/>
      <c r="AS44" s="299" t="s">
        <v>532</v>
      </c>
      <c r="AV44" s="87" t="str">
        <f t="shared" si="1"/>
        <v>Наименование централизованной системы горячего водоснабжения</v>
      </c>
      <c r="AY44" s="17">
        <v>23</v>
      </c>
    </row>
    <row r="45" spans="1:51" ht="24" customHeight="1">
      <c r="A45" s="353" t="s">
        <v>252</v>
      </c>
      <c r="B45" s="353" t="s">
        <v>253</v>
      </c>
      <c r="C45" s="353" t="s">
        <v>254</v>
      </c>
      <c r="D45" s="353" t="s">
        <v>543</v>
      </c>
      <c r="E45" s="1112"/>
      <c r="F45" s="1112"/>
      <c r="G45" s="1112"/>
      <c r="H45" s="1112"/>
      <c r="I45" s="1113" t="str">
        <f>S44&amp;".1"</f>
        <v>...1</v>
      </c>
      <c r="P45" s="1115">
        <v>1</v>
      </c>
      <c r="R45" s="307"/>
      <c r="S45" s="295" t="str">
        <f>$I45</f>
        <v>...1</v>
      </c>
      <c r="T45" s="308" t="s">
        <v>484</v>
      </c>
      <c r="U45" s="297"/>
      <c r="V45" s="1179"/>
      <c r="W45" s="1180"/>
      <c r="X45" s="1180"/>
      <c r="Y45" s="1180"/>
      <c r="Z45" s="1180"/>
      <c r="AA45" s="1180"/>
      <c r="AB45" s="1180"/>
      <c r="AC45" s="1180"/>
      <c r="AD45" s="1180"/>
      <c r="AE45" s="1180"/>
      <c r="AF45" s="1181"/>
      <c r="AG45" s="1182"/>
      <c r="AH45" s="1183"/>
      <c r="AI45" s="1183"/>
      <c r="AJ45" s="1183"/>
      <c r="AK45" s="1183"/>
      <c r="AL45" s="1183"/>
      <c r="AM45" s="1183"/>
      <c r="AN45" s="1183"/>
      <c r="AO45" s="1183"/>
      <c r="AP45" s="1183"/>
      <c r="AQ45" s="1183"/>
      <c r="AR45" s="1184"/>
      <c r="AS45" s="299" t="s">
        <v>485</v>
      </c>
      <c r="AV45" s="87" t="str">
        <f t="shared" si="1"/>
        <v>Наименование признака дифференциации</v>
      </c>
      <c r="AY45" s="17">
        <v>23</v>
      </c>
    </row>
    <row r="46" spans="1:51" ht="24" customHeight="1">
      <c r="A46" s="353" t="s">
        <v>252</v>
      </c>
      <c r="B46" s="353" t="s">
        <v>253</v>
      </c>
      <c r="C46" s="353" t="s">
        <v>254</v>
      </c>
      <c r="D46" s="353" t="s">
        <v>543</v>
      </c>
      <c r="E46" s="1112"/>
      <c r="F46" s="1112"/>
      <c r="G46" s="1112"/>
      <c r="H46" s="1112"/>
      <c r="I46" s="1114"/>
      <c r="J46" s="1113" t="str">
        <f>I45&amp;".1"</f>
        <v>...1.1</v>
      </c>
      <c r="L46" s="306" t="s">
        <v>407</v>
      </c>
      <c r="P46" s="964"/>
      <c r="Q46" s="1115">
        <v>1</v>
      </c>
      <c r="R46" s="309"/>
      <c r="S46" s="295" t="str">
        <f>$J46</f>
        <v>...1.1</v>
      </c>
      <c r="T46" s="310" t="s">
        <v>408</v>
      </c>
      <c r="U46" s="297"/>
      <c r="V46" s="1100"/>
      <c r="W46" s="1101"/>
      <c r="X46" s="1101"/>
      <c r="Y46" s="1101"/>
      <c r="Z46" s="1101"/>
      <c r="AA46" s="1101"/>
      <c r="AB46" s="1101"/>
      <c r="AC46" s="1101"/>
      <c r="AD46" s="1101"/>
      <c r="AE46" s="1101"/>
      <c r="AF46" s="1102"/>
      <c r="AG46" s="1100"/>
      <c r="AH46" s="1101"/>
      <c r="AI46" s="1101"/>
      <c r="AJ46" s="1101"/>
      <c r="AK46" s="1101"/>
      <c r="AL46" s="1101"/>
      <c r="AM46" s="1101"/>
      <c r="AN46" s="1101"/>
      <c r="AO46" s="1101"/>
      <c r="AP46" s="1101"/>
      <c r="AQ46" s="1101"/>
      <c r="AR46" s="1102"/>
      <c r="AS46" s="386" t="s">
        <v>486</v>
      </c>
      <c r="AV46" s="87" t="str">
        <f t="shared" si="1"/>
        <v>Группа потребителей</v>
      </c>
      <c r="AY46" s="17">
        <v>23</v>
      </c>
    </row>
    <row r="47" spans="1:51" ht="24" customHeight="1">
      <c r="A47" s="353" t="s">
        <v>252</v>
      </c>
      <c r="B47" s="353" t="s">
        <v>253</v>
      </c>
      <c r="C47" s="353" t="s">
        <v>254</v>
      </c>
      <c r="D47" s="353" t="s">
        <v>543</v>
      </c>
      <c r="E47" s="1112"/>
      <c r="F47" s="1112"/>
      <c r="G47" s="1112"/>
      <c r="H47" s="1112"/>
      <c r="I47" s="1114"/>
      <c r="J47" s="1114"/>
      <c r="K47" s="1113" t="str">
        <f>J46&amp;".1"</f>
        <v>...1.1.1</v>
      </c>
      <c r="P47" s="964"/>
      <c r="Q47" s="964"/>
      <c r="R47" s="309">
        <v>1</v>
      </c>
      <c r="S47" s="295" t="str">
        <f>$K47</f>
        <v>...1.1.1</v>
      </c>
      <c r="T47" s="426"/>
      <c r="U47" s="297"/>
      <c r="V47" s="312"/>
      <c r="W47" s="312"/>
      <c r="X47" s="312"/>
      <c r="Y47" s="312"/>
      <c r="Z47" s="312"/>
      <c r="AA47" s="312"/>
      <c r="AB47" s="312"/>
      <c r="AC47" s="1110"/>
      <c r="AD47" s="1109" t="s">
        <v>66</v>
      </c>
      <c r="AE47" s="1110"/>
      <c r="AF47" s="1109" t="s">
        <v>66</v>
      </c>
      <c r="AG47" s="312"/>
      <c r="AH47" s="312"/>
      <c r="AI47" s="312"/>
      <c r="AJ47" s="312"/>
      <c r="AK47" s="312"/>
      <c r="AL47" s="312"/>
      <c r="AM47" s="312"/>
      <c r="AN47" s="1116"/>
      <c r="AO47" s="1004" t="s">
        <v>66</v>
      </c>
      <c r="AP47" s="1118"/>
      <c r="AQ47" s="1004" t="s">
        <v>19</v>
      </c>
      <c r="AR47" s="427"/>
      <c r="AS4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 t="e">
        <f ca="1">STRCHECKDATE(V48:AR48)</f>
        <v>#NAME?</v>
      </c>
      <c r="AV47" s="87" t="str">
        <f t="shared" si="1"/>
        <v/>
      </c>
      <c r="AY47" s="17">
        <v>23</v>
      </c>
    </row>
    <row r="48" spans="1:51" ht="0" hidden="1" customHeight="1">
      <c r="A48" s="353" t="s">
        <v>252</v>
      </c>
      <c r="B48" s="353" t="s">
        <v>253</v>
      </c>
      <c r="C48" s="353" t="s">
        <v>254</v>
      </c>
      <c r="D48" s="353" t="s">
        <v>543</v>
      </c>
      <c r="E48" s="1112"/>
      <c r="F48" s="1112"/>
      <c r="G48" s="1112"/>
      <c r="H48" s="1112"/>
      <c r="I48" s="1114"/>
      <c r="J48" s="1114"/>
      <c r="K48" s="1113"/>
      <c r="P48" s="964"/>
      <c r="Q48" s="964"/>
      <c r="R48" s="309"/>
      <c r="S48" s="278"/>
      <c r="T48" s="297"/>
      <c r="U48" s="297"/>
      <c r="V48" s="330"/>
      <c r="W48" s="330"/>
      <c r="X48" s="330"/>
      <c r="Y48" s="330"/>
      <c r="Z48" s="330"/>
      <c r="AA48" s="330"/>
      <c r="AB48" s="330"/>
      <c r="AC48" s="1109"/>
      <c r="AD48" s="1109"/>
      <c r="AE48" s="1109"/>
      <c r="AF48" s="1109"/>
      <c r="AG48" s="313"/>
      <c r="AH48" s="313"/>
      <c r="AI48" s="313"/>
      <c r="AJ48" s="313"/>
      <c r="AK48" s="313"/>
      <c r="AL48" s="313"/>
      <c r="AM48" s="313"/>
      <c r="AN48" s="1117"/>
      <c r="AO48" s="1004"/>
      <c r="AP48" s="1119"/>
      <c r="AQ48" s="1004"/>
      <c r="AR48" s="428"/>
      <c r="AS48" s="1185"/>
      <c r="AV48" s="87" t="str">
        <f t="shared" si="1"/>
        <v/>
      </c>
      <c r="AY48" s="17">
        <v>0</v>
      </c>
    </row>
    <row r="49" spans="1:51" ht="21" customHeight="1">
      <c r="A49" s="353" t="s">
        <v>252</v>
      </c>
      <c r="B49" s="353" t="s">
        <v>253</v>
      </c>
      <c r="C49" s="353" t="s">
        <v>254</v>
      </c>
      <c r="D49" s="353" t="s">
        <v>543</v>
      </c>
      <c r="E49" s="1112"/>
      <c r="F49" s="1112"/>
      <c r="G49" s="1112"/>
      <c r="H49" s="1112"/>
      <c r="I49" s="1114"/>
      <c r="J49" s="1113"/>
      <c r="P49" s="964"/>
      <c r="Q49" s="964"/>
      <c r="R49" s="307"/>
      <c r="S49" s="318"/>
      <c r="T49" s="321" t="s">
        <v>487</v>
      </c>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299" t="s">
        <v>488</v>
      </c>
      <c r="AV49" s="87" t="str">
        <f t="shared" si="1"/>
        <v>Добавить значение признака дифференциации</v>
      </c>
      <c r="AY49" s="17">
        <v>20</v>
      </c>
    </row>
    <row r="50" spans="1:51" ht="21.95" customHeight="1">
      <c r="A50" s="353" t="s">
        <v>252</v>
      </c>
      <c r="B50" s="353" t="s">
        <v>253</v>
      </c>
      <c r="C50" s="353" t="s">
        <v>254</v>
      </c>
      <c r="D50" s="353" t="s">
        <v>543</v>
      </c>
      <c r="E50" s="1112"/>
      <c r="F50" s="1112"/>
      <c r="G50" s="1112"/>
      <c r="H50" s="1112"/>
      <c r="I50" s="1113"/>
      <c r="P50" s="964"/>
      <c r="R50" s="307"/>
      <c r="S50" s="318"/>
      <c r="T50" s="324" t="s">
        <v>413</v>
      </c>
      <c r="U50" s="117"/>
      <c r="V50" s="117"/>
      <c r="W50" s="117"/>
      <c r="X50" s="117"/>
      <c r="Y50" s="117"/>
      <c r="Z50" s="117"/>
      <c r="AA50" s="117"/>
      <c r="AB50" s="117"/>
      <c r="AC50" s="117"/>
      <c r="AD50" s="117"/>
      <c r="AE50" s="117"/>
      <c r="AF50" s="322"/>
      <c r="AG50" s="117"/>
      <c r="AH50" s="117"/>
      <c r="AI50" s="117"/>
      <c r="AJ50" s="117"/>
      <c r="AK50" s="117"/>
      <c r="AL50" s="117"/>
      <c r="AM50" s="117"/>
      <c r="AN50" s="117"/>
      <c r="AO50" s="117"/>
      <c r="AP50" s="117"/>
      <c r="AQ50" s="322"/>
      <c r="AR50" s="117"/>
      <c r="AS50" s="429"/>
      <c r="AV50" s="87" t="str">
        <f t="shared" si="1"/>
        <v>Добавить группу потребителей</v>
      </c>
      <c r="AY50" s="17">
        <v>21</v>
      </c>
    </row>
    <row r="51" spans="1:51" ht="21.95" customHeight="1">
      <c r="A51" s="353" t="s">
        <v>252</v>
      </c>
      <c r="B51" s="353" t="s">
        <v>253</v>
      </c>
      <c r="C51" s="353" t="s">
        <v>254</v>
      </c>
      <c r="D51" s="353" t="s">
        <v>543</v>
      </c>
      <c r="E51" s="1112"/>
      <c r="F51" s="1112"/>
      <c r="G51" s="1112"/>
      <c r="H51" s="1111"/>
      <c r="R51" s="294"/>
      <c r="S51" s="318"/>
      <c r="T51" s="430" t="s">
        <v>489</v>
      </c>
      <c r="U51" s="117"/>
      <c r="V51" s="117"/>
      <c r="W51" s="117"/>
      <c r="X51" s="117"/>
      <c r="Y51" s="117"/>
      <c r="Z51" s="117"/>
      <c r="AA51" s="117"/>
      <c r="AB51" s="117"/>
      <c r="AC51" s="117"/>
      <c r="AD51" s="117"/>
      <c r="AE51" s="117"/>
      <c r="AF51" s="322"/>
      <c r="AG51" s="117"/>
      <c r="AH51" s="117"/>
      <c r="AI51" s="117"/>
      <c r="AJ51" s="117"/>
      <c r="AK51" s="117"/>
      <c r="AL51" s="117"/>
      <c r="AM51" s="117"/>
      <c r="AN51" s="117"/>
      <c r="AO51" s="117"/>
      <c r="AP51" s="117"/>
      <c r="AQ51" s="322"/>
      <c r="AR51" s="117"/>
      <c r="AS51" s="323"/>
      <c r="AV51" s="87" t="str">
        <f t="shared" si="1"/>
        <v>Добавить наименование признака дифференциации</v>
      </c>
      <c r="AY51" s="17">
        <v>21</v>
      </c>
    </row>
    <row r="52" spans="1:51" ht="0" hidden="1" customHeight="1">
      <c r="A52" s="72" t="s">
        <v>252</v>
      </c>
      <c r="B52" s="72" t="s">
        <v>253</v>
      </c>
      <c r="E52" s="1112"/>
      <c r="F52" s="1111"/>
      <c r="T52" s="329" t="s">
        <v>416</v>
      </c>
      <c r="AV52" s="87" t="str">
        <f t="shared" si="1"/>
        <v>Добавить централизованную систему для дифференциации</v>
      </c>
      <c r="AY52" s="75">
        <v>0</v>
      </c>
    </row>
    <row r="53" spans="1:51" ht="0" hidden="1" customHeight="1">
      <c r="A53" s="72" t="s">
        <v>252</v>
      </c>
      <c r="E53" s="1111"/>
      <c r="T53" s="329" t="s">
        <v>417</v>
      </c>
      <c r="AV53" s="87" t="str">
        <f t="shared" si="1"/>
        <v>Добавить территорию для дифференциации</v>
      </c>
      <c r="AY53" s="75">
        <v>0</v>
      </c>
    </row>
    <row r="54" spans="1:51" ht="0" hidden="1" customHeight="1">
      <c r="T54" s="329" t="s">
        <v>449</v>
      </c>
      <c r="AV54" s="87" t="str">
        <f t="shared" si="1"/>
        <v>Добавить наименование тарифа</v>
      </c>
      <c r="AY54" s="75">
        <v>0</v>
      </c>
    </row>
    <row r="55" spans="1:51" ht="11.45" customHeight="1">
      <c r="AY55" s="17">
        <v>11</v>
      </c>
    </row>
    <row r="56" spans="1:51" ht="14.65" customHeight="1">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Y56" s="17">
        <v>14</v>
      </c>
    </row>
    <row r="57" spans="1:51" ht="14.65" customHeight="1">
      <c r="AY57" s="17">
        <v>14</v>
      </c>
    </row>
    <row r="58" spans="1:51" ht="14.65" customHeight="1">
      <c r="T58" s="964"/>
      <c r="U58" s="964"/>
      <c r="V58" s="964"/>
      <c r="W58" s="964"/>
      <c r="X58" s="964"/>
      <c r="Y58" s="964"/>
      <c r="Z58" s="964"/>
      <c r="AA58" s="964"/>
      <c r="AB58" s="964"/>
      <c r="AC58" s="964"/>
      <c r="AD58" s="964"/>
      <c r="AE58" s="964"/>
      <c r="AF58" s="964"/>
      <c r="AG58" s="964"/>
      <c r="AH58" s="964"/>
      <c r="AI58" s="964"/>
      <c r="AJ58" s="964"/>
      <c r="AK58" s="964"/>
      <c r="AL58" s="964"/>
      <c r="AM58" s="964"/>
      <c r="AN58" s="964"/>
      <c r="AO58" s="964"/>
      <c r="AP58" s="964"/>
      <c r="AQ58" s="964"/>
      <c r="AR58" s="964"/>
      <c r="AS58" s="964"/>
      <c r="AY58" s="17">
        <v>14</v>
      </c>
    </row>
    <row r="59" spans="1:51" ht="22.5" hidden="1" customHeight="1">
      <c r="A59" s="37" t="s">
        <v>82</v>
      </c>
      <c r="B59" s="37">
        <v>0</v>
      </c>
      <c r="C59" s="37">
        <v>0</v>
      </c>
      <c r="D59" s="37">
        <v>0</v>
      </c>
      <c r="E59" s="37">
        <v>0</v>
      </c>
      <c r="F59" s="37">
        <v>0</v>
      </c>
      <c r="G59" s="37">
        <v>0</v>
      </c>
      <c r="H59" s="37">
        <v>0</v>
      </c>
      <c r="I59" s="37">
        <v>0</v>
      </c>
      <c r="J59" s="37">
        <v>0</v>
      </c>
      <c r="K59" s="37">
        <v>0</v>
      </c>
      <c r="L59" s="240">
        <v>0</v>
      </c>
      <c r="M59" s="41">
        <v>0</v>
      </c>
      <c r="N59" s="41">
        <v>0</v>
      </c>
      <c r="O59" s="41">
        <v>0</v>
      </c>
      <c r="P59" s="356">
        <v>3</v>
      </c>
      <c r="Q59" s="357">
        <v>3</v>
      </c>
      <c r="R59" s="357">
        <v>3</v>
      </c>
      <c r="S59" s="33">
        <v>12</v>
      </c>
      <c r="T59" s="17">
        <v>35</v>
      </c>
      <c r="U59" s="17">
        <v>0</v>
      </c>
      <c r="V59" s="17">
        <v>0</v>
      </c>
      <c r="W59" s="17">
        <v>0</v>
      </c>
      <c r="X59" s="17">
        <v>0</v>
      </c>
      <c r="Y59" s="17">
        <v>0</v>
      </c>
      <c r="Z59" s="17">
        <v>0</v>
      </c>
      <c r="AA59" s="17">
        <v>0</v>
      </c>
      <c r="AB59" s="17">
        <v>0</v>
      </c>
      <c r="AC59" s="17">
        <v>0</v>
      </c>
      <c r="AD59" s="17">
        <v>0</v>
      </c>
      <c r="AE59" s="17">
        <v>0</v>
      </c>
      <c r="AF59" s="17">
        <v>0</v>
      </c>
      <c r="AG59" s="17">
        <v>19</v>
      </c>
      <c r="AH59" s="17">
        <v>19</v>
      </c>
      <c r="AI59" s="17">
        <v>19</v>
      </c>
      <c r="AJ59" s="17">
        <v>19</v>
      </c>
      <c r="AK59" s="17">
        <v>19</v>
      </c>
      <c r="AL59" s="17">
        <v>19</v>
      </c>
      <c r="AM59" s="17">
        <v>19</v>
      </c>
      <c r="AN59" s="17">
        <v>11</v>
      </c>
      <c r="AO59" s="17">
        <v>3</v>
      </c>
      <c r="AP59" s="17">
        <v>11</v>
      </c>
      <c r="AQ59" s="17">
        <v>0</v>
      </c>
      <c r="AR59" s="17">
        <v>4</v>
      </c>
      <c r="AS59" s="17">
        <v>115</v>
      </c>
      <c r="AT59" s="75">
        <v>10</v>
      </c>
      <c r="AU59" s="75">
        <v>10</v>
      </c>
      <c r="AV59" s="75">
        <v>10</v>
      </c>
      <c r="AW59" s="75">
        <v>10</v>
      </c>
      <c r="AX59" s="75">
        <v>10</v>
      </c>
      <c r="AY59" s="17">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7904-9FAB-5555-2E2C-B8E59B03A84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3" width="19.7109375" customWidth="1"/>
    <col min="34" max="39" width="19" customWidth="1"/>
    <col min="40" max="40" width="11" customWidth="1"/>
    <col min="41" max="41" width="3.7109375" customWidth="1"/>
    <col min="42" max="42" width="11" customWidth="1"/>
    <col min="43" max="43" width="8.5703125" hidden="1" customWidth="1"/>
    <col min="44" max="44" width="4" customWidth="1"/>
    <col min="45" max="45" width="115" customWidth="1"/>
    <col min="46" max="50" width="10" customWidth="1"/>
    <col min="51" max="51" width="10.5703125" hidden="1"/>
  </cols>
  <sheetData>
    <row r="1" spans="5:51" ht="22.5" hidden="1" customHeight="1">
      <c r="AY1" s="17" t="s">
        <v>14</v>
      </c>
    </row>
    <row r="2" spans="5:51" ht="23.25" hidden="1" customHeight="1">
      <c r="E2" s="1111">
        <v>1</v>
      </c>
      <c r="R2" s="294"/>
      <c r="S2" s="295" t="e">
        <f>INDEX(PT_DIFFERENTIATION_NUM_NTAR,MATCH(A2,PT_DIFFERENTIATION_NTAR_ID,0))</f>
        <v>#N/A</v>
      </c>
      <c r="T2" s="296" t="s">
        <v>126</v>
      </c>
      <c r="U2" s="297"/>
      <c r="V2" s="1106"/>
      <c r="W2" s="1107"/>
      <c r="X2" s="1107"/>
      <c r="Y2" s="1107"/>
      <c r="Z2" s="1107"/>
      <c r="AA2" s="1107"/>
      <c r="AB2" s="1107"/>
      <c r="AC2" s="1107"/>
      <c r="AD2" s="1107"/>
      <c r="AE2" s="1107"/>
      <c r="AF2" s="1108"/>
      <c r="AG2" s="1106" t="e">
        <f>INDEX(PT_DIFFERENTIATION_NTAR,MATCH(A2,PT_DIFFERENTIATION_NTAR_ID,0))</f>
        <v>#N/A</v>
      </c>
      <c r="AH2" s="1107"/>
      <c r="AI2" s="1107"/>
      <c r="AJ2" s="1107"/>
      <c r="AK2" s="1107"/>
      <c r="AL2" s="1107"/>
      <c r="AM2" s="1107"/>
      <c r="AN2" s="1107"/>
      <c r="AO2" s="1107"/>
      <c r="AP2" s="1107"/>
      <c r="AQ2" s="1107"/>
      <c r="AR2" s="1108"/>
      <c r="AS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87" t="str">
        <f t="shared" ref="AV2:AV13" si="0">IF(T2="","",T2)</f>
        <v>Наименование тарифа</v>
      </c>
      <c r="AY2" s="17">
        <v>0</v>
      </c>
    </row>
    <row r="3" spans="5:51" ht="23.25" hidden="1" customHeight="1">
      <c r="E3" s="1112"/>
      <c r="F3" s="1111">
        <v>1</v>
      </c>
      <c r="Q3" s="300"/>
      <c r="R3" s="301"/>
      <c r="S3" s="295" t="e">
        <f>INDEX(PT_DIFFERENTIATION_NUM_TER,MATCH(B3,PT_DIFFERENTIATION_TER_ID,0))</f>
        <v>#N/A</v>
      </c>
      <c r="T3" s="302" t="s">
        <v>398</v>
      </c>
      <c r="U3" s="297"/>
      <c r="V3" s="1106"/>
      <c r="W3" s="1107"/>
      <c r="X3" s="1107"/>
      <c r="Y3" s="1107"/>
      <c r="Z3" s="1107"/>
      <c r="AA3" s="1107"/>
      <c r="AB3" s="1107"/>
      <c r="AC3" s="1107"/>
      <c r="AD3" s="1107"/>
      <c r="AE3" s="1107"/>
      <c r="AF3" s="1108"/>
      <c r="AG3" s="1106" t="e">
        <f>INDEX(PT_DIFFERENTIATION_TER,MATCH(B3,PT_DIFFERENTIATION_TER_ID,0))</f>
        <v>#N/A</v>
      </c>
      <c r="AH3" s="1107"/>
      <c r="AI3" s="1107"/>
      <c r="AJ3" s="1107"/>
      <c r="AK3" s="1107"/>
      <c r="AL3" s="1107"/>
      <c r="AM3" s="1107"/>
      <c r="AN3" s="1107"/>
      <c r="AO3" s="1107"/>
      <c r="AP3" s="1107"/>
      <c r="AQ3" s="1107"/>
      <c r="AR3" s="1108"/>
      <c r="AS3" s="299" t="s">
        <v>399</v>
      </c>
      <c r="AV3" s="87" t="str">
        <f t="shared" si="0"/>
        <v>Территория действия тарифа</v>
      </c>
      <c r="AY3" s="17">
        <v>0</v>
      </c>
    </row>
    <row r="4" spans="5:51" ht="23.25" hidden="1" customHeight="1">
      <c r="E4" s="1112"/>
      <c r="F4" s="1112"/>
      <c r="G4" s="1111">
        <v>1</v>
      </c>
      <c r="Q4" s="300"/>
      <c r="R4" s="301"/>
      <c r="S4" s="295" t="e">
        <f>INDEX(PT_DIFFERENTIATION_NUM_CS,MATCH(C4,PT_DIFFERENTIATION_CS_ID,0))</f>
        <v>#N/A</v>
      </c>
      <c r="T4" s="303" t="s">
        <v>531</v>
      </c>
      <c r="U4" s="297"/>
      <c r="V4" s="1106"/>
      <c r="W4" s="1107"/>
      <c r="X4" s="1107"/>
      <c r="Y4" s="1107"/>
      <c r="Z4" s="1107"/>
      <c r="AA4" s="1107"/>
      <c r="AB4" s="1107"/>
      <c r="AC4" s="1107"/>
      <c r="AD4" s="1107"/>
      <c r="AE4" s="1107"/>
      <c r="AF4" s="1108"/>
      <c r="AG4" s="1106" t="e">
        <f>INDEX(PT_DIFFERENTIATION_CS,MATCH(C4,PT_DIFFERENTIATION_CS_ID,0))</f>
        <v>#N/A</v>
      </c>
      <c r="AH4" s="1107"/>
      <c r="AI4" s="1107"/>
      <c r="AJ4" s="1107"/>
      <c r="AK4" s="1107"/>
      <c r="AL4" s="1107"/>
      <c r="AM4" s="1107"/>
      <c r="AN4" s="1107"/>
      <c r="AO4" s="1107"/>
      <c r="AP4" s="1107"/>
      <c r="AQ4" s="1107"/>
      <c r="AR4" s="1108"/>
      <c r="AS4" s="299" t="s">
        <v>532</v>
      </c>
      <c r="AV4" s="87" t="str">
        <f t="shared" si="0"/>
        <v>Наименование централизованной системы горячего водоснабжения</v>
      </c>
      <c r="AY4" s="17">
        <v>0</v>
      </c>
    </row>
    <row r="5" spans="5:51" ht="23.25" hidden="1" customHeight="1">
      <c r="E5" s="1112"/>
      <c r="F5" s="1112"/>
      <c r="G5" s="1112"/>
      <c r="H5" s="1112"/>
      <c r="I5" s="1113" t="e">
        <f>S4&amp;".1"</f>
        <v>#N/A</v>
      </c>
      <c r="P5" s="1115">
        <v>1</v>
      </c>
      <c r="R5" s="307"/>
      <c r="S5" s="295" t="e">
        <f>$I5</f>
        <v>#N/A</v>
      </c>
      <c r="T5" s="308" t="s">
        <v>484</v>
      </c>
      <c r="U5" s="297"/>
      <c r="V5" s="1179"/>
      <c r="W5" s="1180"/>
      <c r="X5" s="1180"/>
      <c r="Y5" s="1180"/>
      <c r="Z5" s="1180"/>
      <c r="AA5" s="1180"/>
      <c r="AB5" s="1180"/>
      <c r="AC5" s="1180"/>
      <c r="AD5" s="1180"/>
      <c r="AE5" s="1180"/>
      <c r="AF5" s="1181"/>
      <c r="AG5" s="1182"/>
      <c r="AH5" s="1183"/>
      <c r="AI5" s="1183"/>
      <c r="AJ5" s="1183"/>
      <c r="AK5" s="1183"/>
      <c r="AL5" s="1183"/>
      <c r="AM5" s="1183"/>
      <c r="AN5" s="1183"/>
      <c r="AO5" s="1183"/>
      <c r="AP5" s="1183"/>
      <c r="AQ5" s="1183"/>
      <c r="AR5" s="1184"/>
      <c r="AS5" s="299" t="s">
        <v>485</v>
      </c>
      <c r="AV5" s="87" t="str">
        <f t="shared" si="0"/>
        <v>Наименование признака дифференциации</v>
      </c>
      <c r="AY5" s="17">
        <v>0</v>
      </c>
    </row>
    <row r="6" spans="5:51" ht="23.25" hidden="1" customHeight="1">
      <c r="E6" s="1112"/>
      <c r="F6" s="1112"/>
      <c r="G6" s="1112"/>
      <c r="H6" s="1112"/>
      <c r="I6" s="1114"/>
      <c r="J6" s="1113" t="e">
        <f>I5&amp;".1"</f>
        <v>#N/A</v>
      </c>
      <c r="L6" s="306" t="s">
        <v>407</v>
      </c>
      <c r="P6" s="964"/>
      <c r="Q6" s="1115">
        <v>1</v>
      </c>
      <c r="R6" s="309"/>
      <c r="S6" s="295" t="e">
        <f>$J6</f>
        <v>#N/A</v>
      </c>
      <c r="T6" s="310" t="s">
        <v>408</v>
      </c>
      <c r="U6" s="297"/>
      <c r="V6" s="1100"/>
      <c r="W6" s="1101"/>
      <c r="X6" s="1101"/>
      <c r="Y6" s="1101"/>
      <c r="Z6" s="1101"/>
      <c r="AA6" s="1101"/>
      <c r="AB6" s="1101"/>
      <c r="AC6" s="1101"/>
      <c r="AD6" s="1101"/>
      <c r="AE6" s="1101"/>
      <c r="AF6" s="1102"/>
      <c r="AG6" s="1100"/>
      <c r="AH6" s="1101"/>
      <c r="AI6" s="1101"/>
      <c r="AJ6" s="1101"/>
      <c r="AK6" s="1101"/>
      <c r="AL6" s="1101"/>
      <c r="AM6" s="1101"/>
      <c r="AN6" s="1101"/>
      <c r="AO6" s="1101"/>
      <c r="AP6" s="1101"/>
      <c r="AQ6" s="1101"/>
      <c r="AR6" s="1102"/>
      <c r="AS6" s="386" t="s">
        <v>486</v>
      </c>
      <c r="AV6" s="87" t="str">
        <f t="shared" si="0"/>
        <v>Группа потребителей</v>
      </c>
      <c r="AY6" s="17">
        <v>0</v>
      </c>
    </row>
    <row r="7" spans="5:51" ht="23.25" hidden="1" customHeight="1">
      <c r="E7" s="1112"/>
      <c r="F7" s="1112"/>
      <c r="G7" s="1112"/>
      <c r="H7" s="1112"/>
      <c r="I7" s="1114"/>
      <c r="J7" s="1114"/>
      <c r="K7" s="1113" t="e">
        <f>J6&amp;".1"</f>
        <v>#N/A</v>
      </c>
      <c r="P7" s="964"/>
      <c r="Q7" s="964"/>
      <c r="R7" s="309">
        <v>1</v>
      </c>
      <c r="S7" s="295" t="e">
        <f>$K7</f>
        <v>#N/A</v>
      </c>
      <c r="T7" s="426"/>
      <c r="U7" s="297"/>
      <c r="V7" s="312"/>
      <c r="W7" s="312"/>
      <c r="X7" s="312"/>
      <c r="Y7" s="312"/>
      <c r="Z7" s="312"/>
      <c r="AA7" s="312"/>
      <c r="AB7" s="314"/>
      <c r="AC7" s="1116"/>
      <c r="AD7" s="1004" t="s">
        <v>66</v>
      </c>
      <c r="AE7" s="1116"/>
      <c r="AF7" s="1004" t="s">
        <v>66</v>
      </c>
      <c r="AG7" s="312"/>
      <c r="AH7" s="312"/>
      <c r="AI7" s="312"/>
      <c r="AJ7" s="312"/>
      <c r="AK7" s="312"/>
      <c r="AL7" s="312"/>
      <c r="AM7" s="314"/>
      <c r="AN7" s="1116"/>
      <c r="AO7" s="1004" t="s">
        <v>66</v>
      </c>
      <c r="AP7" s="1118"/>
      <c r="AQ7" s="1004" t="s">
        <v>66</v>
      </c>
      <c r="AR7" s="427"/>
      <c r="AS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 t="e">
        <f ca="1">STRCHECKDATE(V8:AR8)</f>
        <v>#NAME?</v>
      </c>
      <c r="AV7" s="87" t="str">
        <f t="shared" si="0"/>
        <v/>
      </c>
      <c r="AY7" s="17">
        <v>0</v>
      </c>
    </row>
    <row r="8" spans="5:51" ht="14.25" hidden="1" customHeight="1">
      <c r="E8" s="1112"/>
      <c r="F8" s="1112"/>
      <c r="G8" s="1112"/>
      <c r="H8" s="1112"/>
      <c r="I8" s="1114"/>
      <c r="J8" s="1114"/>
      <c r="K8" s="1113"/>
      <c r="P8" s="964"/>
      <c r="Q8" s="964"/>
      <c r="R8" s="309"/>
      <c r="S8" s="278"/>
      <c r="T8" s="297"/>
      <c r="U8" s="297"/>
      <c r="V8" s="313"/>
      <c r="W8" s="313"/>
      <c r="X8" s="313"/>
      <c r="Y8" s="313"/>
      <c r="Z8" s="313"/>
      <c r="AA8" s="313"/>
      <c r="AB8" s="316" t="str">
        <f>AC7&amp;"-"&amp;AE7</f>
        <v>-</v>
      </c>
      <c r="AC8" s="1117"/>
      <c r="AD8" s="1004"/>
      <c r="AE8" s="1117"/>
      <c r="AF8" s="1004"/>
      <c r="AG8" s="313"/>
      <c r="AH8" s="313"/>
      <c r="AI8" s="313"/>
      <c r="AJ8" s="313"/>
      <c r="AK8" s="313"/>
      <c r="AL8" s="313"/>
      <c r="AM8" s="316" t="str">
        <f>AN7&amp;"-"&amp;AP7</f>
        <v>-</v>
      </c>
      <c r="AN8" s="1117"/>
      <c r="AO8" s="1004"/>
      <c r="AP8" s="1119"/>
      <c r="AQ8" s="1004"/>
      <c r="AR8" s="428"/>
      <c r="AS8" s="1185"/>
      <c r="AV8" s="87" t="str">
        <f t="shared" si="0"/>
        <v/>
      </c>
      <c r="AY8" s="17">
        <v>0</v>
      </c>
    </row>
    <row r="9" spans="5:51" ht="21" hidden="1" customHeight="1">
      <c r="E9" s="1112"/>
      <c r="F9" s="1112"/>
      <c r="G9" s="1112"/>
      <c r="H9" s="1112"/>
      <c r="I9" s="1114"/>
      <c r="J9" s="1113"/>
      <c r="P9" s="964"/>
      <c r="Q9" s="964"/>
      <c r="R9" s="307"/>
      <c r="S9" s="318"/>
      <c r="T9" s="321" t="s">
        <v>487</v>
      </c>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299" t="s">
        <v>488</v>
      </c>
      <c r="AV9" s="87" t="str">
        <f t="shared" si="0"/>
        <v>Добавить значение признака дифференциации</v>
      </c>
      <c r="AY9" s="17">
        <v>0</v>
      </c>
    </row>
    <row r="10" spans="5:51" ht="21" hidden="1" customHeight="1">
      <c r="E10" s="1112"/>
      <c r="F10" s="1112"/>
      <c r="G10" s="1112"/>
      <c r="H10" s="1112"/>
      <c r="I10" s="1113"/>
      <c r="P10" s="964"/>
      <c r="R10" s="307"/>
      <c r="S10" s="318"/>
      <c r="T10" s="324" t="s">
        <v>413</v>
      </c>
      <c r="U10" s="117"/>
      <c r="V10" s="117"/>
      <c r="W10" s="117"/>
      <c r="X10" s="117"/>
      <c r="Y10" s="117"/>
      <c r="Z10" s="117"/>
      <c r="AA10" s="117"/>
      <c r="AB10" s="117"/>
      <c r="AC10" s="117"/>
      <c r="AD10" s="117"/>
      <c r="AE10" s="117"/>
      <c r="AF10" s="322"/>
      <c r="AG10" s="117"/>
      <c r="AH10" s="117"/>
      <c r="AI10" s="117"/>
      <c r="AJ10" s="117"/>
      <c r="AK10" s="117"/>
      <c r="AL10" s="117"/>
      <c r="AM10" s="117"/>
      <c r="AN10" s="117"/>
      <c r="AO10" s="117"/>
      <c r="AP10" s="117"/>
      <c r="AQ10" s="322"/>
      <c r="AR10" s="117"/>
      <c r="AS10" s="429"/>
      <c r="AV10" s="87" t="str">
        <f t="shared" si="0"/>
        <v>Добавить группу потребителей</v>
      </c>
      <c r="AY10" s="17">
        <v>0</v>
      </c>
    </row>
    <row r="11" spans="5:51" ht="21" hidden="1" customHeight="1">
      <c r="E11" s="1112"/>
      <c r="F11" s="1112"/>
      <c r="G11" s="1112"/>
      <c r="H11" s="1111"/>
      <c r="R11" s="294"/>
      <c r="S11" s="318"/>
      <c r="T11" s="430" t="s">
        <v>489</v>
      </c>
      <c r="U11" s="117"/>
      <c r="V11" s="117"/>
      <c r="W11" s="117"/>
      <c r="X11" s="117"/>
      <c r="Y11" s="117"/>
      <c r="Z11" s="117"/>
      <c r="AA11" s="117"/>
      <c r="AB11" s="117"/>
      <c r="AC11" s="117"/>
      <c r="AD11" s="117"/>
      <c r="AE11" s="117"/>
      <c r="AF11" s="322"/>
      <c r="AG11" s="117"/>
      <c r="AH11" s="117"/>
      <c r="AI11" s="117"/>
      <c r="AJ11" s="117"/>
      <c r="AK11" s="117"/>
      <c r="AL11" s="117"/>
      <c r="AM11" s="117"/>
      <c r="AN11" s="117"/>
      <c r="AO11" s="117"/>
      <c r="AP11" s="117"/>
      <c r="AQ11" s="322"/>
      <c r="AR11" s="117"/>
      <c r="AS11" s="323"/>
      <c r="AV11" s="87" t="str">
        <f t="shared" si="0"/>
        <v>Добавить наименование признака дифференциации</v>
      </c>
      <c r="AY11" s="17">
        <v>0</v>
      </c>
    </row>
    <row r="12" spans="5:51" ht="14.25" hidden="1" customHeight="1">
      <c r="E12" s="1112"/>
      <c r="F12" s="1111"/>
      <c r="T12" s="329" t="s">
        <v>416</v>
      </c>
      <c r="AV12" s="87" t="str">
        <f t="shared" si="0"/>
        <v>Добавить централизованную систему для дифференциации</v>
      </c>
      <c r="AY12" s="75">
        <v>0</v>
      </c>
    </row>
    <row r="13" spans="5:51" ht="14.25" hidden="1" customHeight="1">
      <c r="E13" s="1111"/>
      <c r="T13" s="329" t="s">
        <v>417</v>
      </c>
      <c r="AV13" s="87" t="str">
        <f t="shared" si="0"/>
        <v>Добавить территорию для дифференциации</v>
      </c>
      <c r="AY13" s="75">
        <v>0</v>
      </c>
    </row>
    <row r="14" spans="5:51" ht="14.25" hidden="1" customHeight="1">
      <c r="AY14" s="17">
        <v>0</v>
      </c>
    </row>
    <row r="15" spans="5:51" ht="14.25" hidden="1" customHeight="1">
      <c r="AG15" s="330"/>
      <c r="AH15" s="330"/>
      <c r="AI15" s="330"/>
      <c r="AJ15" s="330"/>
      <c r="AK15" s="330"/>
      <c r="AL15" s="330"/>
      <c r="AM15" s="331"/>
      <c r="AN15" s="1110"/>
      <c r="AO15" s="1109" t="s">
        <v>66</v>
      </c>
      <c r="AP15" s="1110"/>
      <c r="AQ15" s="1109" t="s">
        <v>66</v>
      </c>
      <c r="AY15" s="17">
        <v>0</v>
      </c>
    </row>
    <row r="16" spans="5:51" ht="14.25" hidden="1" customHeight="1">
      <c r="AG16" s="330"/>
      <c r="AH16" s="330"/>
      <c r="AI16" s="330"/>
      <c r="AJ16" s="330"/>
      <c r="AK16" s="330"/>
      <c r="AL16" s="330"/>
      <c r="AM16" s="316" t="str">
        <f>AN15&amp;"-"&amp;AP15</f>
        <v>-</v>
      </c>
      <c r="AN16" s="1109"/>
      <c r="AO16" s="1109"/>
      <c r="AP16" s="1109"/>
      <c r="AQ16" s="1109"/>
      <c r="AY16" s="17">
        <v>0</v>
      </c>
    </row>
    <row r="17" spans="15:51" ht="14.25" hidden="1" customHeight="1">
      <c r="AY17" s="17">
        <v>0</v>
      </c>
    </row>
    <row r="18" spans="15:51" ht="22.5" hidden="1" customHeight="1">
      <c r="O18" s="332" t="s">
        <v>418</v>
      </c>
      <c r="AC18" s="332"/>
      <c r="AE18" s="332"/>
      <c r="AN18" s="332"/>
      <c r="AP18" s="332"/>
      <c r="AY18" s="37">
        <v>0</v>
      </c>
    </row>
    <row r="19" spans="15:51" ht="14.25" hidden="1" customHeight="1">
      <c r="AY19" s="37">
        <v>0</v>
      </c>
    </row>
    <row r="20" spans="15:51" ht="12" hidden="1" customHeight="1">
      <c r="O20" s="306" t="s">
        <v>419</v>
      </c>
      <c r="T20" s="37" t="s">
        <v>420</v>
      </c>
      <c r="AD20" s="126" t="s">
        <v>421</v>
      </c>
      <c r="AF20" s="126" t="s">
        <v>422</v>
      </c>
      <c r="AG20" s="37" t="s">
        <v>420</v>
      </c>
      <c r="AO20" s="126" t="s">
        <v>423</v>
      </c>
      <c r="AQ20" s="126" t="s">
        <v>422</v>
      </c>
      <c r="AY20" s="37">
        <v>0</v>
      </c>
    </row>
    <row r="21" spans="15:51" ht="14.25" hidden="1" customHeight="1">
      <c r="AY21" s="17">
        <v>0</v>
      </c>
    </row>
    <row r="22" spans="15:51" ht="14.25" hidden="1" customHeight="1">
      <c r="AY22" s="17">
        <v>0</v>
      </c>
    </row>
    <row r="23" spans="15:51" ht="14.65" customHeight="1">
      <c r="Q23" s="333"/>
      <c r="R23" s="333"/>
      <c r="S23" s="334"/>
      <c r="T23" s="38"/>
      <c r="U23" s="38"/>
      <c r="AY23" s="17">
        <v>14</v>
      </c>
    </row>
    <row r="24" spans="15:51" ht="26.25" customHeight="1">
      <c r="Q24" s="333"/>
      <c r="R24" s="333"/>
      <c r="S24" s="10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Y24" s="17">
        <v>25</v>
      </c>
    </row>
    <row r="25" spans="15:51" ht="14.65" customHeight="1">
      <c r="Q25" s="333"/>
      <c r="R25" s="333"/>
      <c r="S25" s="1066" t="str">
        <f>IF(org=0,"Не определено",org)</f>
        <v>ООО "ТВС"</v>
      </c>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Y25" s="17">
        <v>14</v>
      </c>
    </row>
    <row r="26" spans="15:51" ht="14.25" hidden="1" customHeight="1">
      <c r="Q26" s="333"/>
      <c r="R26" s="333"/>
      <c r="S26" s="334"/>
      <c r="T26" s="38"/>
      <c r="U26" s="38"/>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Y26" s="17">
        <v>0</v>
      </c>
    </row>
    <row r="27" spans="15:51" ht="25.5" hidden="1" customHeight="1">
      <c r="S27" s="1103" t="s">
        <v>42</v>
      </c>
      <c r="T27" s="1103"/>
      <c r="U27" s="337"/>
      <c r="V27" s="1105" t="str">
        <f>IF(TITLE_NAME_OR_PR_CHANGE="",IF(TITLE_NAME_OR_PR="","",TITLE_NAME_OR_PR),TITLE_NAME_OR_PR_CHANGE)</f>
        <v/>
      </c>
      <c r="W27" s="1105"/>
      <c r="X27" s="1105"/>
      <c r="Y27" s="1105"/>
      <c r="Z27" s="1105"/>
      <c r="AA27" s="1105"/>
      <c r="AB27" s="1105"/>
      <c r="AC27" s="1105"/>
      <c r="AD27" s="1105"/>
      <c r="AE27" s="1105"/>
      <c r="AG27" s="1105" t="str">
        <f>IF(TITLE_NAME_OR_PR_CHANGE="",IF(TITLE_NAME_OR_PR="","",TITLE_NAME_OR_PR),TITLE_NAME_OR_PR_CHANGE)</f>
        <v/>
      </c>
      <c r="AH27" s="1105"/>
      <c r="AI27" s="1105"/>
      <c r="AJ27" s="1105"/>
      <c r="AK27" s="1105"/>
      <c r="AL27" s="1105"/>
      <c r="AM27" s="1105"/>
      <c r="AN27" s="1105"/>
      <c r="AO27" s="1105"/>
      <c r="AP27" s="1105"/>
      <c r="AY27" s="111">
        <v>0</v>
      </c>
    </row>
    <row r="28" spans="15:51" ht="18.75" hidden="1" customHeight="1">
      <c r="S28" s="1103" t="s">
        <v>424</v>
      </c>
      <c r="T28" s="1103"/>
      <c r="U28" s="337"/>
      <c r="V28" s="1104" t="str">
        <f>IF(TITLE_DATE_PR_CHANGE="",IF(TITLE_DATE_PR="","",TITLE_DATE_PR),TITLE_DATE_PR_CHANGE)</f>
        <v/>
      </c>
      <c r="W28" s="1104"/>
      <c r="X28" s="1104"/>
      <c r="Y28" s="1104"/>
      <c r="Z28" s="1104"/>
      <c r="AA28" s="1104"/>
      <c r="AB28" s="1104"/>
      <c r="AC28" s="1104"/>
      <c r="AD28" s="1104"/>
      <c r="AE28" s="1104"/>
      <c r="AG28" s="1104" t="str">
        <f>IF(TITLE_DATE_PR_CHANGE="",IF(TITLE_DATE_PR="","",TITLE_DATE_PR),TITLE_DATE_PR_CHANGE)</f>
        <v/>
      </c>
      <c r="AH28" s="1104"/>
      <c r="AI28" s="1104"/>
      <c r="AJ28" s="1104"/>
      <c r="AK28" s="1104"/>
      <c r="AL28" s="1104"/>
      <c r="AM28" s="1104"/>
      <c r="AN28" s="1104"/>
      <c r="AO28" s="1104"/>
      <c r="AP28" s="1104"/>
      <c r="AY28" s="111">
        <v>0</v>
      </c>
    </row>
    <row r="29" spans="15:51" ht="18.75" hidden="1" customHeight="1">
      <c r="S29" s="1103" t="s">
        <v>425</v>
      </c>
      <c r="T29" s="1103"/>
      <c r="U29" s="337"/>
      <c r="V29" s="1105" t="str">
        <f>IF(TITLE_NUMBER_PR_CHANGE="",IF(TITLE_NUMBER_PR="","",TITLE_NUMBER_PR),TITLE_NUMBER_PR_CHANGE)</f>
        <v/>
      </c>
      <c r="W29" s="1105"/>
      <c r="X29" s="1105"/>
      <c r="Y29" s="1105"/>
      <c r="Z29" s="1105"/>
      <c r="AA29" s="1105"/>
      <c r="AB29" s="1105"/>
      <c r="AC29" s="1105"/>
      <c r="AD29" s="1105"/>
      <c r="AE29" s="1105"/>
      <c r="AG29" s="1105" t="str">
        <f>IF(TITLE_NUMBER_PR_CHANGE="",IF(TITLE_NUMBER_PR="","",TITLE_NUMBER_PR),TITLE_NUMBER_PR_CHANGE)</f>
        <v/>
      </c>
      <c r="AH29" s="1105"/>
      <c r="AI29" s="1105"/>
      <c r="AJ29" s="1105"/>
      <c r="AK29" s="1105"/>
      <c r="AL29" s="1105"/>
      <c r="AM29" s="1105"/>
      <c r="AN29" s="1105"/>
      <c r="AO29" s="1105"/>
      <c r="AP29" s="1105"/>
      <c r="AY29" s="111">
        <v>0</v>
      </c>
    </row>
    <row r="30" spans="15:51" ht="18.75" hidden="1" customHeight="1">
      <c r="S30" s="1103" t="s">
        <v>43</v>
      </c>
      <c r="T30" s="1103"/>
      <c r="U30" s="337"/>
      <c r="V30" s="1105" t="str">
        <f>IF(TITLE_IST_PUB_CHANGE="",IF(TITLE_IST_PUB="","",TITLE_IST_PUB),TITLE_IST_PUB_CHANGE)</f>
        <v/>
      </c>
      <c r="W30" s="1105"/>
      <c r="X30" s="1105"/>
      <c r="Y30" s="1105"/>
      <c r="Z30" s="1105"/>
      <c r="AA30" s="1105"/>
      <c r="AB30" s="1105"/>
      <c r="AC30" s="1105"/>
      <c r="AD30" s="1105"/>
      <c r="AE30" s="1105"/>
      <c r="AG30" s="1105" t="str">
        <f>IF(TITLE_IST_PUB_CHANGE="",IF(TITLE_IST_PUB="","",TITLE_IST_PUB),TITLE_IST_PUB_CHANGE)</f>
        <v/>
      </c>
      <c r="AH30" s="1105"/>
      <c r="AI30" s="1105"/>
      <c r="AJ30" s="1105"/>
      <c r="AK30" s="1105"/>
      <c r="AL30" s="1105"/>
      <c r="AM30" s="1105"/>
      <c r="AN30" s="1105"/>
      <c r="AO30" s="1105"/>
      <c r="AP30" s="1105"/>
      <c r="AY30" s="111">
        <v>0</v>
      </c>
    </row>
    <row r="31" spans="15:51" ht="14.25" hidden="1" customHeight="1">
      <c r="Q31" s="333"/>
      <c r="R31" s="333"/>
      <c r="S31" s="334"/>
      <c r="T31" s="38"/>
      <c r="U31" s="38"/>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Y31" s="17">
        <v>0</v>
      </c>
    </row>
    <row r="32" spans="15:51" ht="18.75" hidden="1" customHeight="1">
      <c r="S32" s="1103" t="s">
        <v>426</v>
      </c>
      <c r="T32" s="1103"/>
      <c r="U32" s="337"/>
      <c r="V32" s="1104" t="str">
        <f>IF(TITLE_DATE_PR_CHANGE="",IF(TITLE_DATE_PR="","",TITLE_DATE_PR),TITLE_DATE_PR_CHANGE)</f>
        <v/>
      </c>
      <c r="W32" s="1104"/>
      <c r="X32" s="1104"/>
      <c r="Y32" s="1104"/>
      <c r="Z32" s="1104"/>
      <c r="AA32" s="1104"/>
      <c r="AB32" s="1104"/>
      <c r="AC32" s="1104"/>
      <c r="AD32" s="1104"/>
      <c r="AE32" s="1104"/>
      <c r="AG32" s="1104" t="str">
        <f>IF(TITLE_DATE_PR_CHANGE="",IF(TITLE_DATE_PR="","",TITLE_DATE_PR),TITLE_DATE_PR_CHANGE)</f>
        <v/>
      </c>
      <c r="AH32" s="1104"/>
      <c r="AI32" s="1104"/>
      <c r="AJ32" s="1104"/>
      <c r="AK32" s="1104"/>
      <c r="AL32" s="1104"/>
      <c r="AM32" s="1104"/>
      <c r="AN32" s="1104"/>
      <c r="AO32" s="1104"/>
      <c r="AP32" s="1104"/>
      <c r="AY32" s="111">
        <v>0</v>
      </c>
    </row>
    <row r="33" spans="1:51" ht="18.75" hidden="1" customHeight="1">
      <c r="S33" s="1103" t="s">
        <v>427</v>
      </c>
      <c r="T33" s="1103"/>
      <c r="U33" s="337"/>
      <c r="V33" s="1105" t="str">
        <f>IF(TITLE_NUMBER_PR_CHANGE="",IF(TITLE_NUMBER_PR="","",TITLE_NUMBER_PR),TITLE_NUMBER_PR_CHANGE)</f>
        <v/>
      </c>
      <c r="W33" s="1105"/>
      <c r="X33" s="1105"/>
      <c r="Y33" s="1105"/>
      <c r="Z33" s="1105"/>
      <c r="AA33" s="1105"/>
      <c r="AB33" s="1105"/>
      <c r="AC33" s="1105"/>
      <c r="AD33" s="1105"/>
      <c r="AE33" s="1105"/>
      <c r="AG33" s="1105" t="str">
        <f>IF(TITLE_NUMBER_PR_CHANGE="",IF(TITLE_NUMBER_PR="","",TITLE_NUMBER_PR),TITLE_NUMBER_PR_CHANGE)</f>
        <v/>
      </c>
      <c r="AH33" s="1105"/>
      <c r="AI33" s="1105"/>
      <c r="AJ33" s="1105"/>
      <c r="AK33" s="1105"/>
      <c r="AL33" s="1105"/>
      <c r="AM33" s="1105"/>
      <c r="AN33" s="1105"/>
      <c r="AO33" s="1105"/>
      <c r="AP33" s="1105"/>
      <c r="AY33" s="111">
        <v>0</v>
      </c>
    </row>
    <row r="34" spans="1:51" ht="1.1499999999999999" customHeight="1">
      <c r="AF34" s="75" t="s">
        <v>428</v>
      </c>
      <c r="AQ34" s="75" t="s">
        <v>428</v>
      </c>
      <c r="AY34" s="111">
        <v>1</v>
      </c>
    </row>
    <row r="35" spans="1:51" ht="14.65" customHeight="1">
      <c r="Q35" s="333"/>
      <c r="R35" s="333"/>
      <c r="S35" s="334"/>
      <c r="T35" s="38"/>
      <c r="U35" s="339"/>
      <c r="V35" s="1123"/>
      <c r="W35" s="1123"/>
      <c r="X35" s="1123"/>
      <c r="Y35" s="1123"/>
      <c r="Z35" s="1123"/>
      <c r="AA35" s="1123"/>
      <c r="AB35" s="1123"/>
      <c r="AC35" s="1123"/>
      <c r="AD35" s="1123"/>
      <c r="AE35" s="1123"/>
      <c r="AF35" s="1123"/>
      <c r="AG35" s="1123"/>
      <c r="AH35" s="1123"/>
      <c r="AI35" s="1123"/>
      <c r="AJ35" s="1123"/>
      <c r="AK35" s="1123"/>
      <c r="AL35" s="1123"/>
      <c r="AM35" s="1123"/>
      <c r="AN35" s="1123"/>
      <c r="AO35" s="1123"/>
      <c r="AP35" s="1123"/>
      <c r="AQ35" s="1123"/>
      <c r="AY35" s="17">
        <v>14</v>
      </c>
    </row>
    <row r="36" spans="1:51" ht="14.65" customHeight="1">
      <c r="Q36" s="333"/>
      <c r="R36" s="333"/>
      <c r="S36" s="995" t="s">
        <v>301</v>
      </c>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t="s">
        <v>302</v>
      </c>
      <c r="AY36" s="17">
        <v>14</v>
      </c>
    </row>
    <row r="37" spans="1:51" ht="14.65" customHeight="1">
      <c r="Q37" s="333"/>
      <c r="R37" s="333"/>
      <c r="S37" s="1124" t="s">
        <v>88</v>
      </c>
      <c r="T37" s="1073" t="s">
        <v>429</v>
      </c>
      <c r="U37" s="341"/>
      <c r="V37" s="1125" t="s">
        <v>430</v>
      </c>
      <c r="W37" s="1126"/>
      <c r="X37" s="1126"/>
      <c r="Y37" s="1126"/>
      <c r="Z37" s="1126"/>
      <c r="AA37" s="1126"/>
      <c r="AB37" s="1126"/>
      <c r="AC37" s="1126"/>
      <c r="AD37" s="1126"/>
      <c r="AE37" s="1127"/>
      <c r="AF37" s="1128" t="s">
        <v>431</v>
      </c>
      <c r="AG37" s="1125" t="s">
        <v>430</v>
      </c>
      <c r="AH37" s="1126"/>
      <c r="AI37" s="1126"/>
      <c r="AJ37" s="1126"/>
      <c r="AK37" s="1126"/>
      <c r="AL37" s="1126"/>
      <c r="AM37" s="1126"/>
      <c r="AN37" s="1126"/>
      <c r="AO37" s="1126"/>
      <c r="AP37" s="1127"/>
      <c r="AQ37" s="1128" t="s">
        <v>432</v>
      </c>
      <c r="AR37" s="1131" t="s">
        <v>433</v>
      </c>
      <c r="AS37" s="995"/>
      <c r="AY37" s="17">
        <v>14</v>
      </c>
    </row>
    <row r="38" spans="1:51" ht="19.899999999999999" customHeight="1">
      <c r="Q38" s="333"/>
      <c r="R38" s="333"/>
      <c r="S38" s="1124"/>
      <c r="T38" s="1073"/>
      <c r="U38" s="343"/>
      <c r="V38" s="995" t="s">
        <v>533</v>
      </c>
      <c r="W38" s="1069" t="s">
        <v>534</v>
      </c>
      <c r="X38" s="1069"/>
      <c r="Y38" s="1069"/>
      <c r="Z38" s="1069" t="s">
        <v>535</v>
      </c>
      <c r="AA38" s="1069"/>
      <c r="AB38" s="1069"/>
      <c r="AC38" s="1047" t="s">
        <v>437</v>
      </c>
      <c r="AD38" s="1153"/>
      <c r="AE38" s="1048"/>
      <c r="AF38" s="1129"/>
      <c r="AG38" s="995" t="s">
        <v>533</v>
      </c>
      <c r="AH38" s="1069" t="s">
        <v>534</v>
      </c>
      <c r="AI38" s="1069"/>
      <c r="AJ38" s="1069"/>
      <c r="AK38" s="1069" t="s">
        <v>535</v>
      </c>
      <c r="AL38" s="1069"/>
      <c r="AM38" s="1069"/>
      <c r="AN38" s="1047" t="s">
        <v>437</v>
      </c>
      <c r="AO38" s="1153"/>
      <c r="AP38" s="1048"/>
      <c r="AQ38" s="1129"/>
      <c r="AR38" s="1132"/>
      <c r="AS38" s="995"/>
      <c r="AY38" s="17">
        <v>19</v>
      </c>
    </row>
    <row r="39" spans="1:51" ht="19.899999999999999" customHeight="1">
      <c r="Q39" s="333"/>
      <c r="R39" s="333"/>
      <c r="S39" s="1124"/>
      <c r="T39" s="1073"/>
      <c r="U39" s="343"/>
      <c r="V39" s="995"/>
      <c r="W39" s="1069" t="s">
        <v>536</v>
      </c>
      <c r="X39" s="1069" t="s">
        <v>537</v>
      </c>
      <c r="Y39" s="1069"/>
      <c r="Z39" s="1069" t="s">
        <v>538</v>
      </c>
      <c r="AA39" s="1069" t="s">
        <v>537</v>
      </c>
      <c r="AB39" s="1069"/>
      <c r="AC39" s="1052"/>
      <c r="AD39" s="1154"/>
      <c r="AE39" s="1053"/>
      <c r="AF39" s="1129"/>
      <c r="AG39" s="995"/>
      <c r="AH39" s="1069" t="s">
        <v>536</v>
      </c>
      <c r="AI39" s="1069" t="s">
        <v>537</v>
      </c>
      <c r="AJ39" s="1069"/>
      <c r="AK39" s="1069" t="s">
        <v>538</v>
      </c>
      <c r="AL39" s="1069" t="s">
        <v>537</v>
      </c>
      <c r="AM39" s="1069"/>
      <c r="AN39" s="1052"/>
      <c r="AO39" s="1154"/>
      <c r="AP39" s="1053"/>
      <c r="AQ39" s="1129"/>
      <c r="AR39" s="1132"/>
      <c r="AS39" s="995"/>
      <c r="AY39" s="17">
        <v>19</v>
      </c>
    </row>
    <row r="40" spans="1:51" ht="61.9" customHeight="1">
      <c r="B40" s="126" t="s">
        <v>138</v>
      </c>
      <c r="C40" s="126" t="s">
        <v>139</v>
      </c>
      <c r="D40" s="126" t="s">
        <v>140</v>
      </c>
      <c r="E40" s="306" t="s">
        <v>438</v>
      </c>
      <c r="F40" s="306" t="s">
        <v>439</v>
      </c>
      <c r="G40" s="306" t="s">
        <v>440</v>
      </c>
      <c r="I40" s="306" t="s">
        <v>491</v>
      </c>
      <c r="J40" s="306" t="s">
        <v>443</v>
      </c>
      <c r="K40" s="306" t="s">
        <v>492</v>
      </c>
      <c r="L40" s="306" t="s">
        <v>419</v>
      </c>
      <c r="Q40" s="333"/>
      <c r="R40" s="333"/>
      <c r="S40" s="1124"/>
      <c r="T40" s="1073"/>
      <c r="U40" s="344"/>
      <c r="V40" s="995"/>
      <c r="W40" s="1069"/>
      <c r="X40" s="187" t="s">
        <v>539</v>
      </c>
      <c r="Y40" s="187" t="s">
        <v>540</v>
      </c>
      <c r="Z40" s="1069"/>
      <c r="AA40" s="187" t="s">
        <v>541</v>
      </c>
      <c r="AB40" s="187" t="s">
        <v>542</v>
      </c>
      <c r="AC40" s="134" t="s">
        <v>447</v>
      </c>
      <c r="AD40" s="1078" t="s">
        <v>448</v>
      </c>
      <c r="AE40" s="1092"/>
      <c r="AF40" s="1130"/>
      <c r="AG40" s="995"/>
      <c r="AH40" s="1069"/>
      <c r="AI40" s="187" t="s">
        <v>539</v>
      </c>
      <c r="AJ40" s="187" t="s">
        <v>540</v>
      </c>
      <c r="AK40" s="1069"/>
      <c r="AL40" s="187" t="s">
        <v>541</v>
      </c>
      <c r="AM40" s="187" t="s">
        <v>542</v>
      </c>
      <c r="AN40" s="134" t="s">
        <v>447</v>
      </c>
      <c r="AO40" s="1078" t="s">
        <v>448</v>
      </c>
      <c r="AP40" s="1092"/>
      <c r="AQ40" s="1130"/>
      <c r="AR40" s="1133"/>
      <c r="AS40" s="995"/>
      <c r="AY40" s="17">
        <v>59</v>
      </c>
    </row>
    <row r="41" spans="1:51" ht="11.25" hidden="1" customHeight="1">
      <c r="Q41" s="347"/>
      <c r="R41" s="348">
        <v>1</v>
      </c>
      <c r="S41" s="349" t="s">
        <v>110</v>
      </c>
      <c r="T41" s="350" t="s">
        <v>111</v>
      </c>
      <c r="U41" s="351" t="str">
        <f ca="1">OFFSET(U41,0,-1)</f>
        <v>2</v>
      </c>
      <c r="V41" s="352">
        <f ca="1">OFFSET(V41,0,-1)+1</f>
        <v>3</v>
      </c>
      <c r="W41" s="352"/>
      <c r="X41" s="352"/>
      <c r="Y41" s="352"/>
      <c r="Z41" s="352"/>
      <c r="AA41" s="352"/>
      <c r="AB41" s="352">
        <f ca="1">OFFSET(AB41,0,-1)+1</f>
        <v>1</v>
      </c>
      <c r="AC41" s="352">
        <f ca="1">OFFSET(AC41,0,-1)+1</f>
        <v>2</v>
      </c>
      <c r="AD41" s="1122">
        <f ca="1">OFFSET(AD41,0,-1)+1</f>
        <v>3</v>
      </c>
      <c r="AE41" s="1122"/>
      <c r="AF41" s="352">
        <f ca="1">OFFSET(AF41,0,-2)+1</f>
        <v>4</v>
      </c>
      <c r="AG41" s="352">
        <f ca="1">OFFSET(AG41,0,-1)+1</f>
        <v>5</v>
      </c>
      <c r="AH41" s="352"/>
      <c r="AI41" s="352"/>
      <c r="AJ41" s="352"/>
      <c r="AK41" s="352"/>
      <c r="AL41" s="352"/>
      <c r="AM41" s="352">
        <f ca="1">OFFSET(AM41,0,-1)+1</f>
        <v>1</v>
      </c>
      <c r="AN41" s="352">
        <f ca="1">OFFSET(AN41,0,-1)+1</f>
        <v>2</v>
      </c>
      <c r="AO41" s="1122">
        <f ca="1">OFFSET(AO41,0,-1)+1</f>
        <v>3</v>
      </c>
      <c r="AP41" s="1122"/>
      <c r="AQ41" s="352">
        <f ca="1">OFFSET(AQ41,0,-2)+1</f>
        <v>4</v>
      </c>
      <c r="AR41" s="351">
        <f ca="1">OFFSET(AR41,0,-1)</f>
        <v>4</v>
      </c>
      <c r="AS41" s="352">
        <f ca="1">OFFSET(AS41,0,-1)+1</f>
        <v>5</v>
      </c>
      <c r="AY41" s="258">
        <v>0</v>
      </c>
    </row>
    <row r="42" spans="1:51" ht="24" customHeight="1">
      <c r="A42" s="353" t="s">
        <v>257</v>
      </c>
      <c r="E42" s="1111">
        <v>1</v>
      </c>
      <c r="R42" s="294"/>
      <c r="S42" s="295">
        <f>INDEX(PT_DIFFERENTIATION_NUM_NTAR,MATCH(A42,PT_DIFFERENTIATION_NTAR_ID,0))</f>
        <v>0</v>
      </c>
      <c r="T42" s="296" t="s">
        <v>126</v>
      </c>
      <c r="U42" s="297"/>
      <c r="V42" s="1106"/>
      <c r="W42" s="1107"/>
      <c r="X42" s="1107"/>
      <c r="Y42" s="1107"/>
      <c r="Z42" s="1107"/>
      <c r="AA42" s="1107"/>
      <c r="AB42" s="1107"/>
      <c r="AC42" s="1107"/>
      <c r="AD42" s="1107"/>
      <c r="AE42" s="1107"/>
      <c r="AF42" s="1108"/>
      <c r="AG42" s="1106" t="str">
        <f>INDEX(PT_DIFFERENTIATION_NTAR,MATCH(A42,PT_DIFFERENTIATION_NTAR_ID,0))</f>
        <v/>
      </c>
      <c r="AH42" s="1107"/>
      <c r="AI42" s="1107"/>
      <c r="AJ42" s="1107"/>
      <c r="AK42" s="1107"/>
      <c r="AL42" s="1107"/>
      <c r="AM42" s="1107"/>
      <c r="AN42" s="1107"/>
      <c r="AO42" s="1107"/>
      <c r="AP42" s="1107"/>
      <c r="AQ42" s="1107"/>
      <c r="AR42" s="1108"/>
      <c r="AS4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87" t="str">
        <f t="shared" ref="AV42:AV54" si="1">IF(T42="","",T42)</f>
        <v>Наименование тарифа</v>
      </c>
      <c r="AY42" s="17">
        <v>23</v>
      </c>
    </row>
    <row r="43" spans="1:51" ht="24" customHeight="1">
      <c r="A43" s="353" t="s">
        <v>257</v>
      </c>
      <c r="B43" s="353" t="s">
        <v>258</v>
      </c>
      <c r="E43" s="1112"/>
      <c r="F43" s="1111">
        <v>1</v>
      </c>
      <c r="Q43" s="300"/>
      <c r="R43" s="301"/>
      <c r="S43" s="295" t="str">
        <f>INDEX(PT_DIFFERENTIATION_NUM_TER,MATCH(B43,PT_DIFFERENTIATION_TER_ID,0))</f>
        <v>.</v>
      </c>
      <c r="T43" s="302" t="s">
        <v>398</v>
      </c>
      <c r="U43" s="297"/>
      <c r="V43" s="1106"/>
      <c r="W43" s="1107"/>
      <c r="X43" s="1107"/>
      <c r="Y43" s="1107"/>
      <c r="Z43" s="1107"/>
      <c r="AA43" s="1107"/>
      <c r="AB43" s="1107"/>
      <c r="AC43" s="1107"/>
      <c r="AD43" s="1107"/>
      <c r="AE43" s="1107"/>
      <c r="AF43" s="1108"/>
      <c r="AG43" s="1106" t="str">
        <f>INDEX(PT_DIFFERENTIATION_TER,MATCH(B43,PT_DIFFERENTIATION_TER_ID,0))</f>
        <v/>
      </c>
      <c r="AH43" s="1107"/>
      <c r="AI43" s="1107"/>
      <c r="AJ43" s="1107"/>
      <c r="AK43" s="1107"/>
      <c r="AL43" s="1107"/>
      <c r="AM43" s="1107"/>
      <c r="AN43" s="1107"/>
      <c r="AO43" s="1107"/>
      <c r="AP43" s="1107"/>
      <c r="AQ43" s="1107"/>
      <c r="AR43" s="1108"/>
      <c r="AS43" s="299" t="s">
        <v>399</v>
      </c>
      <c r="AV43" s="87" t="str">
        <f t="shared" si="1"/>
        <v>Территория действия тарифа</v>
      </c>
      <c r="AY43" s="17">
        <v>23</v>
      </c>
    </row>
    <row r="44" spans="1:51" ht="24" customHeight="1">
      <c r="A44" s="353" t="s">
        <v>257</v>
      </c>
      <c r="B44" s="353" t="s">
        <v>258</v>
      </c>
      <c r="C44" s="353" t="s">
        <v>259</v>
      </c>
      <c r="E44" s="1112"/>
      <c r="F44" s="1112"/>
      <c r="G44" s="1111">
        <v>1</v>
      </c>
      <c r="Q44" s="300"/>
      <c r="R44" s="301"/>
      <c r="S44" s="295" t="str">
        <f>INDEX(PT_DIFFERENTIATION_NUM_CS,MATCH(C44,PT_DIFFERENTIATION_CS_ID,0))</f>
        <v>..</v>
      </c>
      <c r="T44" s="303" t="s">
        <v>531</v>
      </c>
      <c r="U44" s="297"/>
      <c r="V44" s="1106"/>
      <c r="W44" s="1107"/>
      <c r="X44" s="1107"/>
      <c r="Y44" s="1107"/>
      <c r="Z44" s="1107"/>
      <c r="AA44" s="1107"/>
      <c r="AB44" s="1107"/>
      <c r="AC44" s="1107"/>
      <c r="AD44" s="1107"/>
      <c r="AE44" s="1107"/>
      <c r="AF44" s="1108"/>
      <c r="AG44" s="1106" t="str">
        <f>INDEX(PT_DIFFERENTIATION_CS,MATCH(C44,PT_DIFFERENTIATION_CS_ID,0))</f>
        <v/>
      </c>
      <c r="AH44" s="1107"/>
      <c r="AI44" s="1107"/>
      <c r="AJ44" s="1107"/>
      <c r="AK44" s="1107"/>
      <c r="AL44" s="1107"/>
      <c r="AM44" s="1107"/>
      <c r="AN44" s="1107"/>
      <c r="AO44" s="1107"/>
      <c r="AP44" s="1107"/>
      <c r="AQ44" s="1107"/>
      <c r="AR44" s="1108"/>
      <c r="AS44" s="299" t="s">
        <v>532</v>
      </c>
      <c r="AV44" s="87" t="str">
        <f t="shared" si="1"/>
        <v>Наименование централизованной системы горячего водоснабжения</v>
      </c>
      <c r="AY44" s="17">
        <v>23</v>
      </c>
    </row>
    <row r="45" spans="1:51" ht="24" customHeight="1">
      <c r="A45" s="353" t="s">
        <v>257</v>
      </c>
      <c r="B45" s="353" t="s">
        <v>258</v>
      </c>
      <c r="C45" s="353" t="s">
        <v>259</v>
      </c>
      <c r="D45" s="353" t="s">
        <v>544</v>
      </c>
      <c r="E45" s="1112"/>
      <c r="F45" s="1112"/>
      <c r="G45" s="1112"/>
      <c r="H45" s="1112"/>
      <c r="I45" s="1113" t="str">
        <f>S44&amp;".1"</f>
        <v>...1</v>
      </c>
      <c r="P45" s="1115">
        <v>1</v>
      </c>
      <c r="R45" s="307"/>
      <c r="S45" s="295" t="str">
        <f>$I45</f>
        <v>...1</v>
      </c>
      <c r="T45" s="308" t="s">
        <v>484</v>
      </c>
      <c r="U45" s="297"/>
      <c r="V45" s="1179"/>
      <c r="W45" s="1180"/>
      <c r="X45" s="1180"/>
      <c r="Y45" s="1180"/>
      <c r="Z45" s="1180"/>
      <c r="AA45" s="1180"/>
      <c r="AB45" s="1180"/>
      <c r="AC45" s="1180"/>
      <c r="AD45" s="1180"/>
      <c r="AE45" s="1180"/>
      <c r="AF45" s="1181"/>
      <c r="AG45" s="1182"/>
      <c r="AH45" s="1183"/>
      <c r="AI45" s="1183"/>
      <c r="AJ45" s="1183"/>
      <c r="AK45" s="1183"/>
      <c r="AL45" s="1183"/>
      <c r="AM45" s="1183"/>
      <c r="AN45" s="1183"/>
      <c r="AO45" s="1183"/>
      <c r="AP45" s="1183"/>
      <c r="AQ45" s="1183"/>
      <c r="AR45" s="1184"/>
      <c r="AS45" s="299" t="s">
        <v>485</v>
      </c>
      <c r="AV45" s="87" t="str">
        <f t="shared" si="1"/>
        <v>Наименование признака дифференциации</v>
      </c>
      <c r="AY45" s="17">
        <v>23</v>
      </c>
    </row>
    <row r="46" spans="1:51" ht="24" customHeight="1">
      <c r="A46" s="353" t="s">
        <v>257</v>
      </c>
      <c r="B46" s="353" t="s">
        <v>258</v>
      </c>
      <c r="C46" s="353" t="s">
        <v>259</v>
      </c>
      <c r="D46" s="353" t="s">
        <v>544</v>
      </c>
      <c r="E46" s="1112"/>
      <c r="F46" s="1112"/>
      <c r="G46" s="1112"/>
      <c r="H46" s="1112"/>
      <c r="I46" s="1114"/>
      <c r="J46" s="1113" t="str">
        <f>I45&amp;".1"</f>
        <v>...1.1</v>
      </c>
      <c r="L46" s="306" t="s">
        <v>407</v>
      </c>
      <c r="P46" s="964"/>
      <c r="Q46" s="1115">
        <v>1</v>
      </c>
      <c r="R46" s="309"/>
      <c r="S46" s="295" t="str">
        <f>$J46</f>
        <v>...1.1</v>
      </c>
      <c r="T46" s="310" t="s">
        <v>408</v>
      </c>
      <c r="U46" s="297"/>
      <c r="V46" s="1100"/>
      <c r="W46" s="1101"/>
      <c r="X46" s="1101"/>
      <c r="Y46" s="1101"/>
      <c r="Z46" s="1101"/>
      <c r="AA46" s="1101"/>
      <c r="AB46" s="1101"/>
      <c r="AC46" s="1101"/>
      <c r="AD46" s="1101"/>
      <c r="AE46" s="1101"/>
      <c r="AF46" s="1102"/>
      <c r="AG46" s="1100"/>
      <c r="AH46" s="1101"/>
      <c r="AI46" s="1101"/>
      <c r="AJ46" s="1101"/>
      <c r="AK46" s="1101"/>
      <c r="AL46" s="1101"/>
      <c r="AM46" s="1101"/>
      <c r="AN46" s="1101"/>
      <c r="AO46" s="1101"/>
      <c r="AP46" s="1101"/>
      <c r="AQ46" s="1101"/>
      <c r="AR46" s="1102"/>
      <c r="AS46" s="386" t="s">
        <v>486</v>
      </c>
      <c r="AV46" s="87" t="str">
        <f t="shared" si="1"/>
        <v>Группа потребителей</v>
      </c>
      <c r="AY46" s="17">
        <v>23</v>
      </c>
    </row>
    <row r="47" spans="1:51" ht="24" customHeight="1">
      <c r="A47" s="353" t="s">
        <v>257</v>
      </c>
      <c r="B47" s="353" t="s">
        <v>258</v>
      </c>
      <c r="C47" s="353" t="s">
        <v>259</v>
      </c>
      <c r="D47" s="353" t="s">
        <v>544</v>
      </c>
      <c r="E47" s="1112"/>
      <c r="F47" s="1112"/>
      <c r="G47" s="1112"/>
      <c r="H47" s="1112"/>
      <c r="I47" s="1114"/>
      <c r="J47" s="1114"/>
      <c r="K47" s="1113" t="str">
        <f>J46&amp;".1"</f>
        <v>...1.1.1</v>
      </c>
      <c r="P47" s="964"/>
      <c r="Q47" s="964"/>
      <c r="R47" s="309">
        <v>1</v>
      </c>
      <c r="S47" s="295" t="str">
        <f>$K47</f>
        <v>...1.1.1</v>
      </c>
      <c r="T47" s="426"/>
      <c r="U47" s="297"/>
      <c r="V47" s="330"/>
      <c r="W47" s="330"/>
      <c r="X47" s="330"/>
      <c r="Y47" s="330"/>
      <c r="Z47" s="330"/>
      <c r="AA47" s="330"/>
      <c r="AB47" s="331"/>
      <c r="AC47" s="1110"/>
      <c r="AD47" s="1109" t="s">
        <v>66</v>
      </c>
      <c r="AE47" s="1110"/>
      <c r="AF47" s="1109" t="s">
        <v>66</v>
      </c>
      <c r="AG47" s="312"/>
      <c r="AH47" s="312"/>
      <c r="AI47" s="312"/>
      <c r="AJ47" s="312"/>
      <c r="AK47" s="312"/>
      <c r="AL47" s="312"/>
      <c r="AM47" s="314"/>
      <c r="AN47" s="1116"/>
      <c r="AO47" s="1004" t="s">
        <v>66</v>
      </c>
      <c r="AP47" s="1118"/>
      <c r="AQ47" s="1004" t="s">
        <v>19</v>
      </c>
      <c r="AR47" s="427"/>
      <c r="AS47" s="11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 t="e">
        <f ca="1">STRCHECKDATE(V48:AR48)</f>
        <v>#NAME?</v>
      </c>
      <c r="AV47" s="87" t="str">
        <f t="shared" si="1"/>
        <v/>
      </c>
      <c r="AY47" s="17">
        <v>23</v>
      </c>
    </row>
    <row r="48" spans="1:51" ht="0" hidden="1" customHeight="1">
      <c r="A48" s="353" t="s">
        <v>257</v>
      </c>
      <c r="B48" s="353" t="s">
        <v>258</v>
      </c>
      <c r="C48" s="353" t="s">
        <v>259</v>
      </c>
      <c r="D48" s="353" t="s">
        <v>544</v>
      </c>
      <c r="E48" s="1112"/>
      <c r="F48" s="1112"/>
      <c r="G48" s="1112"/>
      <c r="H48" s="1112"/>
      <c r="I48" s="1114"/>
      <c r="J48" s="1114"/>
      <c r="K48" s="1113"/>
      <c r="P48" s="964"/>
      <c r="Q48" s="964"/>
      <c r="R48" s="309"/>
      <c r="S48" s="278"/>
      <c r="T48" s="297"/>
      <c r="U48" s="297"/>
      <c r="V48" s="330"/>
      <c r="W48" s="330"/>
      <c r="X48" s="330"/>
      <c r="Y48" s="330"/>
      <c r="Z48" s="330"/>
      <c r="AA48" s="330"/>
      <c r="AB48" s="316" t="str">
        <f>AC47&amp;"-"&amp;AE47</f>
        <v>-</v>
      </c>
      <c r="AC48" s="1109"/>
      <c r="AD48" s="1109"/>
      <c r="AE48" s="1109"/>
      <c r="AF48" s="1109"/>
      <c r="AG48" s="313"/>
      <c r="AH48" s="313"/>
      <c r="AI48" s="313"/>
      <c r="AJ48" s="313"/>
      <c r="AK48" s="313"/>
      <c r="AL48" s="313"/>
      <c r="AM48" s="316" t="str">
        <f>AN47&amp;"-"&amp;AP47</f>
        <v>-</v>
      </c>
      <c r="AN48" s="1117"/>
      <c r="AO48" s="1004"/>
      <c r="AP48" s="1119"/>
      <c r="AQ48" s="1004"/>
      <c r="AR48" s="428"/>
      <c r="AS48" s="1185"/>
      <c r="AV48" s="87" t="str">
        <f t="shared" si="1"/>
        <v/>
      </c>
      <c r="AY48" s="17">
        <v>0</v>
      </c>
    </row>
    <row r="49" spans="1:51" ht="21" customHeight="1">
      <c r="A49" s="353" t="s">
        <v>257</v>
      </c>
      <c r="B49" s="353" t="s">
        <v>258</v>
      </c>
      <c r="C49" s="353" t="s">
        <v>259</v>
      </c>
      <c r="D49" s="353" t="s">
        <v>544</v>
      </c>
      <c r="E49" s="1112"/>
      <c r="F49" s="1112"/>
      <c r="G49" s="1112"/>
      <c r="H49" s="1112"/>
      <c r="I49" s="1114"/>
      <c r="J49" s="1113"/>
      <c r="P49" s="964"/>
      <c r="Q49" s="964"/>
      <c r="R49" s="307"/>
      <c r="S49" s="318"/>
      <c r="T49" s="321" t="s">
        <v>487</v>
      </c>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299" t="s">
        <v>488</v>
      </c>
      <c r="AV49" s="87" t="str">
        <f t="shared" si="1"/>
        <v>Добавить значение признака дифференциации</v>
      </c>
      <c r="AY49" s="17">
        <v>20</v>
      </c>
    </row>
    <row r="50" spans="1:51" ht="21.95" customHeight="1">
      <c r="A50" s="353" t="s">
        <v>257</v>
      </c>
      <c r="B50" s="353" t="s">
        <v>258</v>
      </c>
      <c r="C50" s="353" t="s">
        <v>259</v>
      </c>
      <c r="D50" s="353" t="s">
        <v>544</v>
      </c>
      <c r="E50" s="1112"/>
      <c r="F50" s="1112"/>
      <c r="G50" s="1112"/>
      <c r="H50" s="1112"/>
      <c r="I50" s="1113"/>
      <c r="P50" s="964"/>
      <c r="R50" s="307"/>
      <c r="S50" s="318"/>
      <c r="T50" s="324" t="s">
        <v>413</v>
      </c>
      <c r="U50" s="117"/>
      <c r="V50" s="117"/>
      <c r="W50" s="117"/>
      <c r="X50" s="117"/>
      <c r="Y50" s="117"/>
      <c r="Z50" s="117"/>
      <c r="AA50" s="117"/>
      <c r="AB50" s="117"/>
      <c r="AC50" s="117"/>
      <c r="AD50" s="117"/>
      <c r="AE50" s="117"/>
      <c r="AF50" s="322"/>
      <c r="AG50" s="117"/>
      <c r="AH50" s="117"/>
      <c r="AI50" s="117"/>
      <c r="AJ50" s="117"/>
      <c r="AK50" s="117"/>
      <c r="AL50" s="117"/>
      <c r="AM50" s="117"/>
      <c r="AN50" s="117"/>
      <c r="AO50" s="117"/>
      <c r="AP50" s="117"/>
      <c r="AQ50" s="322"/>
      <c r="AR50" s="117"/>
      <c r="AS50" s="429"/>
      <c r="AV50" s="87" t="str">
        <f t="shared" si="1"/>
        <v>Добавить группу потребителей</v>
      </c>
      <c r="AY50" s="17">
        <v>21</v>
      </c>
    </row>
    <row r="51" spans="1:51" ht="21.95" customHeight="1">
      <c r="A51" s="353" t="s">
        <v>257</v>
      </c>
      <c r="B51" s="353" t="s">
        <v>258</v>
      </c>
      <c r="C51" s="353" t="s">
        <v>259</v>
      </c>
      <c r="D51" s="353" t="s">
        <v>544</v>
      </c>
      <c r="E51" s="1112"/>
      <c r="F51" s="1112"/>
      <c r="G51" s="1112"/>
      <c r="H51" s="1111"/>
      <c r="R51" s="294"/>
      <c r="S51" s="318"/>
      <c r="T51" s="430" t="s">
        <v>489</v>
      </c>
      <c r="U51" s="117"/>
      <c r="V51" s="117"/>
      <c r="W51" s="117"/>
      <c r="X51" s="117"/>
      <c r="Y51" s="117"/>
      <c r="Z51" s="117"/>
      <c r="AA51" s="117"/>
      <c r="AB51" s="117"/>
      <c r="AC51" s="117"/>
      <c r="AD51" s="117"/>
      <c r="AE51" s="117"/>
      <c r="AF51" s="322"/>
      <c r="AG51" s="117"/>
      <c r="AH51" s="117"/>
      <c r="AI51" s="117"/>
      <c r="AJ51" s="117"/>
      <c r="AK51" s="117"/>
      <c r="AL51" s="117"/>
      <c r="AM51" s="117"/>
      <c r="AN51" s="117"/>
      <c r="AO51" s="117"/>
      <c r="AP51" s="117"/>
      <c r="AQ51" s="322"/>
      <c r="AR51" s="117"/>
      <c r="AS51" s="323"/>
      <c r="AV51" s="87" t="str">
        <f t="shared" si="1"/>
        <v>Добавить наименование признака дифференциации</v>
      </c>
      <c r="AY51" s="17">
        <v>21</v>
      </c>
    </row>
    <row r="52" spans="1:51" ht="0" hidden="1" customHeight="1">
      <c r="A52" s="72" t="s">
        <v>257</v>
      </c>
      <c r="B52" s="72" t="s">
        <v>258</v>
      </c>
      <c r="E52" s="1112"/>
      <c r="F52" s="1111"/>
      <c r="T52" s="329" t="s">
        <v>416</v>
      </c>
      <c r="AV52" s="87" t="str">
        <f t="shared" si="1"/>
        <v>Добавить централизованную систему для дифференциации</v>
      </c>
      <c r="AY52" s="75">
        <v>0</v>
      </c>
    </row>
    <row r="53" spans="1:51" ht="0" hidden="1" customHeight="1">
      <c r="A53" s="72" t="s">
        <v>257</v>
      </c>
      <c r="E53" s="1111"/>
      <c r="T53" s="329" t="s">
        <v>417</v>
      </c>
      <c r="AV53" s="87" t="str">
        <f t="shared" si="1"/>
        <v>Добавить территорию для дифференциации</v>
      </c>
      <c r="AY53" s="75">
        <v>0</v>
      </c>
    </row>
    <row r="54" spans="1:51" ht="0" hidden="1" customHeight="1">
      <c r="T54" s="329" t="s">
        <v>449</v>
      </c>
      <c r="AV54" s="87" t="str">
        <f t="shared" si="1"/>
        <v>Добавить наименование тарифа</v>
      </c>
      <c r="AY54" s="75">
        <v>0</v>
      </c>
    </row>
    <row r="55" spans="1:51" ht="11.45" customHeight="1">
      <c r="AY55" s="17">
        <v>11</v>
      </c>
    </row>
    <row r="56" spans="1:51" ht="14.65" customHeight="1">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Y56" s="17">
        <v>14</v>
      </c>
    </row>
    <row r="57" spans="1:51" ht="14.65" customHeight="1">
      <c r="AY57" s="17">
        <v>14</v>
      </c>
    </row>
    <row r="58" spans="1:51" ht="14.65" customHeight="1">
      <c r="T58" s="964"/>
      <c r="U58" s="964"/>
      <c r="V58" s="964"/>
      <c r="W58" s="964"/>
      <c r="X58" s="964"/>
      <c r="Y58" s="964"/>
      <c r="Z58" s="964"/>
      <c r="AA58" s="964"/>
      <c r="AB58" s="964"/>
      <c r="AC58" s="964"/>
      <c r="AD58" s="964"/>
      <c r="AE58" s="964"/>
      <c r="AF58" s="964"/>
      <c r="AG58" s="964"/>
      <c r="AH58" s="964"/>
      <c r="AI58" s="964"/>
      <c r="AJ58" s="964"/>
      <c r="AK58" s="964"/>
      <c r="AL58" s="964"/>
      <c r="AM58" s="964"/>
      <c r="AN58" s="964"/>
      <c r="AO58" s="964"/>
      <c r="AP58" s="964"/>
      <c r="AQ58" s="964"/>
      <c r="AR58" s="964"/>
      <c r="AS58" s="964"/>
      <c r="AY58" s="17">
        <v>14</v>
      </c>
    </row>
    <row r="59" spans="1:51" ht="22.5" hidden="1" customHeight="1">
      <c r="A59" s="37" t="s">
        <v>82</v>
      </c>
      <c r="B59" s="37">
        <v>0</v>
      </c>
      <c r="C59" s="37">
        <v>0</v>
      </c>
      <c r="D59" s="37">
        <v>0</v>
      </c>
      <c r="E59" s="37">
        <v>0</v>
      </c>
      <c r="F59" s="37">
        <v>0</v>
      </c>
      <c r="G59" s="37">
        <v>0</v>
      </c>
      <c r="H59" s="37">
        <v>0</v>
      </c>
      <c r="I59" s="37">
        <v>0</v>
      </c>
      <c r="J59" s="37">
        <v>0</v>
      </c>
      <c r="K59" s="37">
        <v>0</v>
      </c>
      <c r="L59" s="240">
        <v>0</v>
      </c>
      <c r="M59" s="41">
        <v>0</v>
      </c>
      <c r="N59" s="41">
        <v>0</v>
      </c>
      <c r="O59" s="41">
        <v>0</v>
      </c>
      <c r="P59" s="356">
        <v>3</v>
      </c>
      <c r="Q59" s="357">
        <v>3</v>
      </c>
      <c r="R59" s="357">
        <v>3</v>
      </c>
      <c r="S59" s="33">
        <v>12</v>
      </c>
      <c r="T59" s="17">
        <v>35</v>
      </c>
      <c r="U59" s="17">
        <v>0</v>
      </c>
      <c r="V59" s="17">
        <v>0</v>
      </c>
      <c r="W59" s="17">
        <v>0</v>
      </c>
      <c r="X59" s="17">
        <v>0</v>
      </c>
      <c r="Y59" s="17">
        <v>0</v>
      </c>
      <c r="Z59" s="17">
        <v>0</v>
      </c>
      <c r="AA59" s="17">
        <v>0</v>
      </c>
      <c r="AB59" s="17">
        <v>0</v>
      </c>
      <c r="AC59" s="17">
        <v>0</v>
      </c>
      <c r="AD59" s="17">
        <v>0</v>
      </c>
      <c r="AE59" s="17">
        <v>0</v>
      </c>
      <c r="AF59" s="17">
        <v>0</v>
      </c>
      <c r="AG59" s="17">
        <v>19</v>
      </c>
      <c r="AH59" s="17">
        <v>19</v>
      </c>
      <c r="AI59" s="17">
        <v>19</v>
      </c>
      <c r="AJ59" s="17">
        <v>19</v>
      </c>
      <c r="AK59" s="17">
        <v>19</v>
      </c>
      <c r="AL59" s="17">
        <v>19</v>
      </c>
      <c r="AM59" s="17">
        <v>19</v>
      </c>
      <c r="AN59" s="17">
        <v>11</v>
      </c>
      <c r="AO59" s="17">
        <v>3</v>
      </c>
      <c r="AP59" s="17">
        <v>11</v>
      </c>
      <c r="AQ59" s="17">
        <v>0</v>
      </c>
      <c r="AR59" s="17">
        <v>4</v>
      </c>
      <c r="AS59" s="17">
        <v>115</v>
      </c>
      <c r="AT59" s="75">
        <v>10</v>
      </c>
      <c r="AU59" s="75">
        <v>10</v>
      </c>
      <c r="AV59" s="75">
        <v>10</v>
      </c>
      <c r="AW59" s="75">
        <v>10</v>
      </c>
      <c r="AX59" s="75">
        <v>10</v>
      </c>
      <c r="AY59" s="17">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605E-12B6-F3AA-43B9-7D40730758D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c r="BI1" s="17" t="s">
        <v>14</v>
      </c>
    </row>
    <row r="2" spans="5:61" ht="21" hidden="1" customHeight="1">
      <c r="E2" s="1111">
        <v>1</v>
      </c>
      <c r="R2" s="294"/>
      <c r="S2" s="295" t="e">
        <f>INDEX(PT_DIFFERENTIATION_NUM_NTAR,MATCH(A2,PT_DIFFERENTIATION_NTAR_ID,0))</f>
        <v>#N/A</v>
      </c>
      <c r="T2" s="296" t="s">
        <v>126</v>
      </c>
      <c r="U2" s="297"/>
      <c r="V2" s="1107"/>
      <c r="W2" s="1107"/>
      <c r="X2" s="1107"/>
      <c r="Y2" s="1107"/>
      <c r="Z2" s="1107"/>
      <c r="AA2" s="1107"/>
      <c r="AB2" s="1107"/>
      <c r="AC2" s="1108"/>
      <c r="AD2" s="1106" t="e">
        <f>INDEX(PT_DIFFERENTIATION_NTAR,MATCH(A2,PT_DIFFERENTIATION_NTAR_ID,0))</f>
        <v>#N/A</v>
      </c>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8"/>
      <c r="BC2"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87" t="str">
        <f t="shared" ref="BF2:BF8" si="0">IF(T2="","",T2)</f>
        <v>Наименование тарифа</v>
      </c>
      <c r="BI2" s="17">
        <v>0</v>
      </c>
    </row>
    <row r="3" spans="5:61" ht="21" hidden="1" customHeight="1">
      <c r="E3" s="1112"/>
      <c r="F3" s="1111">
        <v>1</v>
      </c>
      <c r="Q3" s="397"/>
      <c r="R3" s="301"/>
      <c r="S3" s="295" t="e">
        <f>INDEX(PT_DIFFERENTIATION_NUM_TER,MATCH(B3,PT_DIFFERENTIATION_TER_ID,0))</f>
        <v>#N/A</v>
      </c>
      <c r="T3" s="302" t="s">
        <v>398</v>
      </c>
      <c r="U3" s="297"/>
      <c r="V3" s="1107"/>
      <c r="W3" s="1107"/>
      <c r="X3" s="1107"/>
      <c r="Y3" s="1107"/>
      <c r="Z3" s="1107"/>
      <c r="AA3" s="1107"/>
      <c r="AB3" s="1107"/>
      <c r="AC3" s="1108"/>
      <c r="AD3" s="1106" t="e">
        <f>INDEX(PT_DIFFERENTIATION_TER,MATCH(B3,PT_DIFFERENTIATION_TER_ID,0))</f>
        <v>#N/A</v>
      </c>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8"/>
      <c r="BC3" s="299" t="s">
        <v>399</v>
      </c>
      <c r="BF3" s="87" t="str">
        <f t="shared" si="0"/>
        <v>Территория действия тарифа</v>
      </c>
      <c r="BI3" s="17">
        <v>0</v>
      </c>
    </row>
    <row r="4" spans="5:61" ht="33.75" hidden="1" customHeight="1">
      <c r="E4" s="1112"/>
      <c r="F4" s="1112"/>
      <c r="G4" s="1111">
        <v>1</v>
      </c>
      <c r="Q4" s="397"/>
      <c r="R4" s="301"/>
      <c r="S4" s="295" t="e">
        <f>INDEX(PT_DIFFERENTIATION_NUM_CS,MATCH(C4,PT_DIFFERENTIATION_CS_ID,0))</f>
        <v>#N/A</v>
      </c>
      <c r="T4" s="303" t="s">
        <v>531</v>
      </c>
      <c r="U4" s="297"/>
      <c r="V4" s="1107"/>
      <c r="W4" s="1107"/>
      <c r="X4" s="1107"/>
      <c r="Y4" s="1107"/>
      <c r="Z4" s="1107"/>
      <c r="AA4" s="1107"/>
      <c r="AB4" s="1107"/>
      <c r="AC4" s="1108"/>
      <c r="AD4" s="1106" t="e">
        <f>INDEX(PT_DIFFERENTIATION_CS,MATCH(C4,PT_DIFFERENTIATION_CS_ID,0))</f>
        <v>#N/A</v>
      </c>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8"/>
      <c r="BC4" s="299" t="s">
        <v>532</v>
      </c>
      <c r="BF4" s="87" t="str">
        <f t="shared" si="0"/>
        <v>Наименование централизованной системы горячего водоснабжения</v>
      </c>
      <c r="BI4" s="17">
        <v>0</v>
      </c>
    </row>
    <row r="5" spans="5:61" ht="14.25" hidden="1" customHeight="1">
      <c r="E5" s="1112"/>
      <c r="F5" s="1112"/>
      <c r="G5" s="1112"/>
      <c r="H5" s="1111">
        <v>1</v>
      </c>
      <c r="Q5" s="435"/>
      <c r="R5" s="309"/>
      <c r="S5" s="193"/>
      <c r="T5" s="436"/>
      <c r="U5" s="364"/>
      <c r="V5" s="1143"/>
      <c r="W5" s="1143"/>
      <c r="X5" s="1143"/>
      <c r="Y5" s="1143"/>
      <c r="Z5" s="1143"/>
      <c r="AA5" s="1143"/>
      <c r="AB5" s="1143"/>
      <c r="AC5" s="1144"/>
      <c r="AD5" s="1142"/>
      <c r="AE5" s="1143"/>
      <c r="AF5" s="1143"/>
      <c r="AG5" s="1143"/>
      <c r="AH5" s="1143"/>
      <c r="AI5" s="1143"/>
      <c r="AJ5" s="1143"/>
      <c r="AK5" s="1143"/>
      <c r="AL5" s="1143"/>
      <c r="AM5" s="1143"/>
      <c r="AN5" s="1143"/>
      <c r="AO5" s="1143"/>
      <c r="AP5" s="1143"/>
      <c r="AQ5" s="1143"/>
      <c r="AR5" s="1143"/>
      <c r="AS5" s="1143"/>
      <c r="AT5" s="1143"/>
      <c r="AU5" s="1143"/>
      <c r="AV5" s="1143"/>
      <c r="AW5" s="1143"/>
      <c r="AX5" s="1143"/>
      <c r="AY5" s="1143"/>
      <c r="AZ5" s="1143"/>
      <c r="BA5" s="1143"/>
      <c r="BB5" s="1144"/>
      <c r="BC5" s="366" t="s">
        <v>403</v>
      </c>
      <c r="BF5" s="87" t="str">
        <f t="shared" si="0"/>
        <v/>
      </c>
      <c r="BI5" s="75">
        <v>0</v>
      </c>
    </row>
    <row r="6" spans="5:61" ht="14.25" hidden="1" customHeight="1">
      <c r="E6" s="1112"/>
      <c r="F6" s="1112"/>
      <c r="G6" s="1112"/>
      <c r="H6" s="1112"/>
      <c r="I6" s="1113" t="str">
        <f>S5&amp;".1"</f>
        <v>.1</v>
      </c>
      <c r="L6" s="371" t="s">
        <v>404</v>
      </c>
      <c r="P6" s="1115">
        <v>1</v>
      </c>
      <c r="R6" s="307"/>
      <c r="S6" s="193"/>
      <c r="T6" s="363"/>
      <c r="U6" s="364"/>
      <c r="V6" s="1143"/>
      <c r="W6" s="1143"/>
      <c r="X6" s="1143"/>
      <c r="Y6" s="1143"/>
      <c r="Z6" s="1143"/>
      <c r="AA6" s="1143"/>
      <c r="AB6" s="1143"/>
      <c r="AC6" s="1144"/>
      <c r="AD6" s="1142"/>
      <c r="AE6" s="1143"/>
      <c r="AF6" s="1143"/>
      <c r="AG6" s="1143"/>
      <c r="AH6" s="1143"/>
      <c r="AI6" s="1143"/>
      <c r="AJ6" s="1143"/>
      <c r="AK6" s="1143"/>
      <c r="AL6" s="1143"/>
      <c r="AM6" s="1143"/>
      <c r="AN6" s="1143"/>
      <c r="AO6" s="1143"/>
      <c r="AP6" s="1143"/>
      <c r="AQ6" s="1143"/>
      <c r="AR6" s="1143"/>
      <c r="AS6" s="1143"/>
      <c r="AT6" s="1143"/>
      <c r="AU6" s="1143"/>
      <c r="AV6" s="1143"/>
      <c r="AW6" s="1143"/>
      <c r="AX6" s="1143"/>
      <c r="AY6" s="1143"/>
      <c r="AZ6" s="1143"/>
      <c r="BA6" s="1143"/>
      <c r="BB6" s="1144"/>
      <c r="BC6" s="366"/>
      <c r="BF6" s="87" t="str">
        <f t="shared" si="0"/>
        <v/>
      </c>
      <c r="BI6" s="75">
        <v>0</v>
      </c>
    </row>
    <row r="7" spans="5:61" ht="14.25" hidden="1" customHeight="1">
      <c r="E7" s="1112"/>
      <c r="F7" s="1112"/>
      <c r="G7" s="1112"/>
      <c r="H7" s="1112"/>
      <c r="I7" s="1114"/>
      <c r="J7" s="1113" t="str">
        <f>S5&amp;".1"</f>
        <v>.1</v>
      </c>
      <c r="P7" s="964"/>
      <c r="Q7" s="1115">
        <v>1</v>
      </c>
      <c r="R7" s="309"/>
      <c r="S7" s="193"/>
      <c r="T7" s="398"/>
      <c r="U7" s="364"/>
      <c r="V7" s="1143"/>
      <c r="W7" s="1143"/>
      <c r="X7" s="1143"/>
      <c r="Y7" s="1143"/>
      <c r="Z7" s="1143"/>
      <c r="AA7" s="1143"/>
      <c r="AB7" s="1143"/>
      <c r="AC7" s="1144"/>
      <c r="AD7" s="1142"/>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4"/>
      <c r="BC7" s="366"/>
      <c r="BF7" s="87" t="str">
        <f t="shared" si="0"/>
        <v/>
      </c>
      <c r="BI7" s="75">
        <v>0</v>
      </c>
    </row>
    <row r="8" spans="5:61" ht="11.25" hidden="1" customHeight="1">
      <c r="E8" s="1112"/>
      <c r="F8" s="1112"/>
      <c r="G8" s="1112"/>
      <c r="H8" s="1112"/>
      <c r="I8" s="1114"/>
      <c r="J8" s="1114"/>
      <c r="K8" s="1113" t="e">
        <f>S4&amp;".1"</f>
        <v>#N/A</v>
      </c>
      <c r="P8" s="964"/>
      <c r="Q8" s="964"/>
      <c r="R8" s="1171">
        <v>1</v>
      </c>
      <c r="S8" s="1168" t="e">
        <f>$K8</f>
        <v>#N/A</v>
      </c>
      <c r="T8" s="1188"/>
      <c r="U8" s="297"/>
      <c r="V8" s="312"/>
      <c r="W8" s="314"/>
      <c r="X8" s="312"/>
      <c r="Y8" s="314"/>
      <c r="Z8" s="315"/>
      <c r="AA8" s="122" t="s">
        <v>66</v>
      </c>
      <c r="AB8" s="315"/>
      <c r="AC8" s="122" t="s">
        <v>66</v>
      </c>
      <c r="AD8" s="1059" t="s">
        <v>66</v>
      </c>
      <c r="AE8" s="1164"/>
      <c r="AF8" s="1069">
        <v>1</v>
      </c>
      <c r="AG8" s="1187"/>
      <c r="AH8" s="1004" t="s">
        <v>66</v>
      </c>
      <c r="AI8" s="1164"/>
      <c r="AJ8" s="1069">
        <v>1</v>
      </c>
      <c r="AK8" s="1178" t="s">
        <v>22</v>
      </c>
      <c r="AL8" s="1004" t="s">
        <v>66</v>
      </c>
      <c r="AM8" s="1047"/>
      <c r="AN8" s="1069">
        <v>1</v>
      </c>
      <c r="AO8" s="1191"/>
      <c r="AP8" s="1192" t="s">
        <v>66</v>
      </c>
      <c r="AQ8" s="401"/>
      <c r="AR8" s="187">
        <v>1</v>
      </c>
      <c r="AS8" s="43" t="s">
        <v>22</v>
      </c>
      <c r="AT8" s="312"/>
      <c r="AU8" s="314"/>
      <c r="AV8" s="312"/>
      <c r="AW8" s="314"/>
      <c r="AX8" s="315"/>
      <c r="AY8" s="122" t="s">
        <v>66</v>
      </c>
      <c r="AZ8" s="315"/>
      <c r="BA8" s="122" t="s">
        <v>66</v>
      </c>
      <c r="BB8" s="354"/>
      <c r="BC8" s="1134" t="s">
        <v>502</v>
      </c>
      <c r="BF8" s="87" t="str">
        <f t="shared" si="0"/>
        <v/>
      </c>
      <c r="BI8" s="17">
        <v>0</v>
      </c>
    </row>
    <row r="9" spans="5:61" ht="11.25" hidden="1" customHeight="1">
      <c r="E9" s="1112"/>
      <c r="F9" s="1112"/>
      <c r="G9" s="1112"/>
      <c r="H9" s="1112"/>
      <c r="I9" s="1114"/>
      <c r="J9" s="1114"/>
      <c r="K9" s="1113"/>
      <c r="P9" s="964"/>
      <c r="Q9" s="964"/>
      <c r="R9" s="1171"/>
      <c r="S9" s="1169"/>
      <c r="T9" s="1189"/>
      <c r="U9" s="297"/>
      <c r="V9" s="391"/>
      <c r="W9" s="404"/>
      <c r="X9" s="391"/>
      <c r="Y9" s="404"/>
      <c r="Z9" s="391"/>
      <c r="AA9" s="391"/>
      <c r="AB9" s="391"/>
      <c r="AC9" s="391"/>
      <c r="AD9" s="1060"/>
      <c r="AE9" s="1164"/>
      <c r="AF9" s="1069"/>
      <c r="AG9" s="1187"/>
      <c r="AH9" s="1004"/>
      <c r="AI9" s="1164"/>
      <c r="AJ9" s="1069"/>
      <c r="AK9" s="1178"/>
      <c r="AL9" s="1004"/>
      <c r="AM9" s="1052"/>
      <c r="AN9" s="1069"/>
      <c r="AO9" s="1191"/>
      <c r="AP9" s="1193"/>
      <c r="AQ9" s="403"/>
      <c r="AR9" s="105"/>
      <c r="AS9" s="105" t="s">
        <v>503</v>
      </c>
      <c r="AT9" s="391"/>
      <c r="AU9" s="404"/>
      <c r="AV9" s="391"/>
      <c r="AW9" s="404"/>
      <c r="AX9" s="391"/>
      <c r="AY9" s="391"/>
      <c r="AZ9" s="391"/>
      <c r="BA9" s="391"/>
      <c r="BB9" s="402"/>
      <c r="BC9" s="1135"/>
      <c r="BI9" s="17">
        <v>0</v>
      </c>
    </row>
    <row r="10" spans="5:61" ht="11.25" hidden="1" customHeight="1">
      <c r="E10" s="1112"/>
      <c r="F10" s="1112"/>
      <c r="G10" s="1112"/>
      <c r="H10" s="1112"/>
      <c r="I10" s="1114"/>
      <c r="J10" s="1114"/>
      <c r="K10" s="1113"/>
      <c r="P10" s="964"/>
      <c r="Q10" s="964"/>
      <c r="R10" s="1171"/>
      <c r="S10" s="1169"/>
      <c r="T10" s="1189"/>
      <c r="U10" s="297"/>
      <c r="V10" s="391"/>
      <c r="W10" s="404"/>
      <c r="X10" s="391"/>
      <c r="Y10" s="404"/>
      <c r="Z10" s="391"/>
      <c r="AA10" s="391"/>
      <c r="AB10" s="391"/>
      <c r="AC10" s="391"/>
      <c r="AD10" s="1060"/>
      <c r="AE10" s="1164"/>
      <c r="AF10" s="1069"/>
      <c r="AG10" s="1187"/>
      <c r="AH10" s="1004"/>
      <c r="AI10" s="1164"/>
      <c r="AJ10" s="1069"/>
      <c r="AK10" s="1178"/>
      <c r="AL10" s="1004"/>
      <c r="AM10" s="403"/>
      <c r="AN10" s="437"/>
      <c r="AO10" s="437" t="s">
        <v>504</v>
      </c>
      <c r="AP10" s="105"/>
      <c r="AQ10" s="105"/>
      <c r="AR10" s="105"/>
      <c r="AS10" s="391"/>
      <c r="AT10" s="391"/>
      <c r="AU10" s="404"/>
      <c r="AV10" s="391"/>
      <c r="AW10" s="404"/>
      <c r="AX10" s="391"/>
      <c r="AY10" s="391"/>
      <c r="AZ10" s="391"/>
      <c r="BA10" s="391"/>
      <c r="BB10" s="402"/>
      <c r="BC10" s="1135"/>
      <c r="BI10" s="17">
        <v>0</v>
      </c>
    </row>
    <row r="11" spans="5:61" ht="11.25" hidden="1" customHeight="1">
      <c r="E11" s="1112"/>
      <c r="F11" s="1112"/>
      <c r="G11" s="1112"/>
      <c r="H11" s="1112"/>
      <c r="I11" s="1114"/>
      <c r="J11" s="1114"/>
      <c r="K11" s="1113"/>
      <c r="P11" s="964"/>
      <c r="Q11" s="964"/>
      <c r="R11" s="1171"/>
      <c r="S11" s="1169"/>
      <c r="T11" s="1189"/>
      <c r="U11" s="297"/>
      <c r="V11" s="391"/>
      <c r="W11" s="404"/>
      <c r="X11" s="391"/>
      <c r="Y11" s="404"/>
      <c r="Z11" s="391"/>
      <c r="AA11" s="391"/>
      <c r="AB11" s="391"/>
      <c r="AC11" s="391"/>
      <c r="AD11" s="1060"/>
      <c r="AE11" s="1164"/>
      <c r="AF11" s="1069"/>
      <c r="AG11" s="1187"/>
      <c r="AH11" s="1004"/>
      <c r="AI11" s="406"/>
      <c r="AJ11" s="100"/>
      <c r="AK11" s="269" t="s">
        <v>505</v>
      </c>
      <c r="AL11" s="391"/>
      <c r="AM11" s="391"/>
      <c r="AN11" s="391"/>
      <c r="AO11" s="391"/>
      <c r="AP11" s="391"/>
      <c r="AQ11" s="391"/>
      <c r="AR11" s="391"/>
      <c r="AS11" s="391"/>
      <c r="AT11" s="391"/>
      <c r="AU11" s="404"/>
      <c r="AV11" s="391"/>
      <c r="AW11" s="404"/>
      <c r="AX11" s="391"/>
      <c r="AY11" s="391"/>
      <c r="AZ11" s="391"/>
      <c r="BA11" s="391"/>
      <c r="BB11" s="402"/>
      <c r="BC11" s="1135"/>
      <c r="BI11" s="17">
        <v>0</v>
      </c>
    </row>
    <row r="12" spans="5:61" ht="11.25" hidden="1" customHeight="1">
      <c r="E12" s="1112"/>
      <c r="F12" s="1112"/>
      <c r="G12" s="1112"/>
      <c r="H12" s="1112"/>
      <c r="I12" s="1114"/>
      <c r="J12" s="1114"/>
      <c r="K12" s="1113"/>
      <c r="P12" s="964"/>
      <c r="Q12" s="964"/>
      <c r="R12" s="1171"/>
      <c r="S12" s="1170"/>
      <c r="T12" s="1190"/>
      <c r="U12" s="297"/>
      <c r="V12" s="391"/>
      <c r="W12" s="392" t="str">
        <f>Z8&amp;"-"&amp;AB8</f>
        <v>-</v>
      </c>
      <c r="X12" s="391"/>
      <c r="Y12" s="392" t="str">
        <f>AB8&amp;"-"&amp;AD8</f>
        <v>-да</v>
      </c>
      <c r="Z12" s="391"/>
      <c r="AA12" s="391"/>
      <c r="AB12" s="391"/>
      <c r="AC12" s="391"/>
      <c r="AD12" s="1009"/>
      <c r="AE12" s="408"/>
      <c r="AF12" s="409"/>
      <c r="AG12" s="105" t="s">
        <v>506</v>
      </c>
      <c r="AH12" s="391"/>
      <c r="AI12" s="391"/>
      <c r="AJ12" s="391"/>
      <c r="AK12" s="391"/>
      <c r="AL12" s="391"/>
      <c r="AM12" s="391"/>
      <c r="AN12" s="391"/>
      <c r="AO12" s="391"/>
      <c r="AP12" s="391"/>
      <c r="AQ12" s="391"/>
      <c r="AR12" s="391"/>
      <c r="AS12" s="391"/>
      <c r="AT12" s="391"/>
      <c r="AU12" s="392" t="str">
        <f>AX8&amp;"-"&amp;AZ8</f>
        <v>-</v>
      </c>
      <c r="AV12" s="391"/>
      <c r="AW12" s="392" t="str">
        <f>AZ8&amp;"-"&amp;BB8</f>
        <v>-</v>
      </c>
      <c r="AX12" s="391"/>
      <c r="AY12" s="391"/>
      <c r="AZ12" s="391"/>
      <c r="BA12" s="391"/>
      <c r="BB12" s="407" t="str">
        <f>BE8&amp;"-"&amp;BG8</f>
        <v>-</v>
      </c>
      <c r="BC12" s="1135"/>
      <c r="BF12" s="87" t="str">
        <f t="shared" ref="BF12:BF18" si="1">IF(T12="","",T12)</f>
        <v/>
      </c>
      <c r="BI12" s="17">
        <v>0</v>
      </c>
    </row>
    <row r="13" spans="5:61" ht="11.25" hidden="1" customHeight="1">
      <c r="E13" s="1112"/>
      <c r="F13" s="1112"/>
      <c r="G13" s="1112"/>
      <c r="H13" s="1112"/>
      <c r="I13" s="1114"/>
      <c r="J13" s="1113"/>
      <c r="P13" s="964"/>
      <c r="Q13" s="964"/>
      <c r="R13" s="307"/>
      <c r="S13" s="318"/>
      <c r="T13" s="321" t="s">
        <v>469</v>
      </c>
      <c r="U13" s="117"/>
      <c r="V13" s="117"/>
      <c r="W13" s="117"/>
      <c r="X13" s="117"/>
      <c r="Y13" s="117"/>
      <c r="Z13" s="117"/>
      <c r="AA13" s="117"/>
      <c r="AB13" s="117"/>
      <c r="AC13" s="117"/>
      <c r="AD13" s="422"/>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320"/>
      <c r="BC13" s="1136"/>
      <c r="BF13" s="87" t="str">
        <f t="shared" si="1"/>
        <v>Добавить строку</v>
      </c>
      <c r="BI13" s="17">
        <v>0</v>
      </c>
    </row>
    <row r="14" spans="5:61" ht="14.25" hidden="1" customHeight="1">
      <c r="E14" s="1112"/>
      <c r="F14" s="1112"/>
      <c r="G14" s="1112"/>
      <c r="H14" s="1112"/>
      <c r="I14" s="1113"/>
      <c r="P14" s="964"/>
      <c r="R14" s="307"/>
      <c r="S14" s="367"/>
      <c r="T14" s="368"/>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70"/>
      <c r="BF14" s="87" t="str">
        <f t="shared" si="1"/>
        <v/>
      </c>
      <c r="BI14" s="75">
        <v>0</v>
      </c>
    </row>
    <row r="15" spans="5:61" ht="14.25" hidden="1" customHeight="1">
      <c r="E15" s="1112"/>
      <c r="F15" s="1112"/>
      <c r="G15" s="1112"/>
      <c r="H15" s="1111"/>
      <c r="R15" s="410"/>
      <c r="S15" s="367"/>
      <c r="T15" s="368"/>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70"/>
      <c r="BF15" s="87" t="str">
        <f t="shared" si="1"/>
        <v/>
      </c>
      <c r="BI15" s="75">
        <v>0</v>
      </c>
    </row>
    <row r="16" spans="5:61" ht="14.25" hidden="1" customHeight="1">
      <c r="E16" s="1112"/>
      <c r="F16" s="1112"/>
      <c r="G16" s="1111"/>
      <c r="BF16" s="87" t="str">
        <f t="shared" si="1"/>
        <v/>
      </c>
      <c r="BI16" s="75">
        <v>0</v>
      </c>
    </row>
    <row r="17" spans="5:61" ht="14.25" hidden="1" customHeight="1">
      <c r="E17" s="1112"/>
      <c r="F17" s="1111"/>
      <c r="T17" s="329" t="s">
        <v>416</v>
      </c>
      <c r="BF17" s="87" t="str">
        <f t="shared" si="1"/>
        <v>Добавить централизованную систему для дифференциации</v>
      </c>
      <c r="BI17" s="75">
        <v>0</v>
      </c>
    </row>
    <row r="18" spans="5:61" ht="14.25" hidden="1" customHeight="1">
      <c r="E18" s="1111"/>
      <c r="T18" s="329" t="s">
        <v>417</v>
      </c>
      <c r="BF18" s="87" t="str">
        <f t="shared" si="1"/>
        <v>Добавить территорию для дифференциации</v>
      </c>
      <c r="BI18" s="75">
        <v>0</v>
      </c>
    </row>
    <row r="19" spans="5:61" ht="14.25" hidden="1" customHeight="1">
      <c r="BI19" s="17">
        <v>0</v>
      </c>
    </row>
    <row r="20" spans="5:61" ht="14.25" hidden="1" customHeight="1">
      <c r="AD20" s="411" t="s">
        <v>19</v>
      </c>
      <c r="AF20" s="411">
        <v>1</v>
      </c>
      <c r="AH20" s="411" t="s">
        <v>19</v>
      </c>
      <c r="AJ20" s="411">
        <v>1</v>
      </c>
      <c r="AL20" s="411" t="s">
        <v>19</v>
      </c>
      <c r="AN20" s="411">
        <v>1</v>
      </c>
      <c r="AP20" s="411" t="s">
        <v>19</v>
      </c>
      <c r="AR20" s="411">
        <v>1</v>
      </c>
      <c r="AT20" s="313"/>
      <c r="AU20" s="361"/>
      <c r="AV20" s="313"/>
      <c r="AW20" s="361"/>
      <c r="AX20" s="415"/>
      <c r="AY20" s="416" t="s">
        <v>66</v>
      </c>
      <c r="AZ20" s="415"/>
      <c r="BA20" s="416" t="s">
        <v>66</v>
      </c>
      <c r="BI20" s="17">
        <v>0</v>
      </c>
    </row>
    <row r="21" spans="5:61" ht="14.25" hidden="1" customHeight="1">
      <c r="BI21" s="17">
        <v>0</v>
      </c>
    </row>
    <row r="22" spans="5:61" ht="14.25" hidden="1" customHeight="1">
      <c r="O22" s="332" t="s">
        <v>418</v>
      </c>
      <c r="Z22" s="359"/>
      <c r="AB22" s="359"/>
      <c r="AX22" s="359"/>
      <c r="AZ22" s="359"/>
      <c r="BI22" s="17">
        <v>0</v>
      </c>
    </row>
    <row r="23" spans="5:61" ht="14.25" hidden="1" customHeight="1">
      <c r="BI23" s="17">
        <v>0</v>
      </c>
    </row>
    <row r="24" spans="5:61" ht="14.25" hidden="1" customHeight="1">
      <c r="O24" s="417" t="s">
        <v>419</v>
      </c>
      <c r="AA24" s="417" t="s">
        <v>421</v>
      </c>
      <c r="AC24" s="417" t="s">
        <v>422</v>
      </c>
      <c r="AD24" s="417" t="s">
        <v>470</v>
      </c>
      <c r="AH24" s="417" t="s">
        <v>470</v>
      </c>
      <c r="AK24" s="417" t="s">
        <v>507</v>
      </c>
      <c r="AL24" s="417" t="s">
        <v>470</v>
      </c>
      <c r="AP24" s="417" t="s">
        <v>470</v>
      </c>
      <c r="AY24" s="417" t="s">
        <v>421</v>
      </c>
      <c r="BA24" s="417" t="s">
        <v>422</v>
      </c>
      <c r="BI24" s="417">
        <v>0</v>
      </c>
    </row>
    <row r="25" spans="5:61" ht="14.25" hidden="1" customHeight="1">
      <c r="BI25" s="17">
        <v>0</v>
      </c>
    </row>
    <row r="26" spans="5:61" ht="14.25" hidden="1" customHeight="1">
      <c r="BI26" s="17">
        <v>0</v>
      </c>
    </row>
    <row r="27" spans="5:61" ht="14.65" customHeight="1">
      <c r="Q27" s="418"/>
      <c r="R27" s="333"/>
      <c r="S27" s="334"/>
      <c r="T27" s="38"/>
      <c r="U27" s="38"/>
      <c r="BI27" s="17">
        <v>14</v>
      </c>
    </row>
    <row r="28" spans="5:61" ht="14.65" customHeight="1">
      <c r="Q28" s="418"/>
      <c r="R28" s="333"/>
      <c r="S28" s="10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093"/>
      <c r="U28" s="1093"/>
      <c r="V28" s="1093"/>
      <c r="W28" s="1093"/>
      <c r="X28" s="1093"/>
      <c r="Y28" s="1093"/>
      <c r="Z28" s="1093"/>
      <c r="AA28" s="1093"/>
      <c r="AB28" s="1093"/>
      <c r="AC28" s="1093"/>
      <c r="AD28" s="1093"/>
      <c r="AE28" s="1093"/>
      <c r="AF28" s="1093"/>
      <c r="AG28" s="1093"/>
      <c r="AH28" s="1093"/>
      <c r="AI28" s="1093"/>
      <c r="AJ28" s="1093"/>
      <c r="AK28" s="1093"/>
      <c r="AL28" s="1093"/>
      <c r="AM28" s="1093"/>
      <c r="AN28" s="1093"/>
      <c r="AO28" s="1093"/>
      <c r="AP28" s="1093"/>
      <c r="AQ28" s="1093"/>
      <c r="AR28" s="1093"/>
      <c r="AS28" s="1093"/>
      <c r="AT28" s="1093"/>
      <c r="AU28" s="1093"/>
      <c r="AV28" s="1093"/>
      <c r="AW28" s="1093"/>
      <c r="AX28" s="1093"/>
      <c r="AY28" s="1093"/>
      <c r="AZ28" s="1093"/>
      <c r="BI28" s="17">
        <v>14</v>
      </c>
    </row>
    <row r="29" spans="5:61" ht="14.65" customHeight="1">
      <c r="Q29" s="418"/>
      <c r="R29" s="333"/>
      <c r="S29" s="1066" t="str">
        <f>IF(org=0,"Не определено",org)</f>
        <v>ООО "ТВС"</v>
      </c>
      <c r="T29" s="1066"/>
      <c r="U29" s="1066"/>
      <c r="V29" s="1066"/>
      <c r="W29" s="1066"/>
      <c r="X29" s="1066"/>
      <c r="Y29" s="1066"/>
      <c r="Z29" s="1066"/>
      <c r="AA29" s="1066"/>
      <c r="AB29" s="1066"/>
      <c r="AC29" s="1066"/>
      <c r="AD29" s="1066"/>
      <c r="AE29" s="1066"/>
      <c r="AF29" s="1066"/>
      <c r="AG29" s="1066"/>
      <c r="AH29" s="1066"/>
      <c r="AI29" s="1066"/>
      <c r="AJ29" s="1066"/>
      <c r="AK29" s="1066"/>
      <c r="AL29" s="1066"/>
      <c r="AM29" s="1066"/>
      <c r="AN29" s="1066"/>
      <c r="AO29" s="1066"/>
      <c r="AP29" s="1066"/>
      <c r="AQ29" s="1066"/>
      <c r="AR29" s="1066"/>
      <c r="AS29" s="1066"/>
      <c r="AT29" s="1066"/>
      <c r="AU29" s="1066"/>
      <c r="AV29" s="1066"/>
      <c r="AW29" s="1066"/>
      <c r="AX29" s="1066"/>
      <c r="AY29" s="1066"/>
      <c r="AZ29" s="1066"/>
      <c r="BI29" s="17">
        <v>14</v>
      </c>
    </row>
    <row r="30" spans="5:61" ht="14.25" hidden="1" customHeight="1">
      <c r="Q30" s="418"/>
      <c r="R30" s="333"/>
      <c r="S30" s="334"/>
      <c r="T30" s="38"/>
      <c r="U30" s="38"/>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I30" s="17">
        <v>0</v>
      </c>
    </row>
    <row r="31" spans="5:61" ht="25.5" hidden="1" customHeight="1">
      <c r="S31" s="1103" t="s">
        <v>42</v>
      </c>
      <c r="T31" s="1103"/>
      <c r="U31" s="337"/>
      <c r="V31" s="1105" t="str">
        <f>IF(TITLE_NAME_OR_PR_CHANGE="",IF(TITLE_NAME_OR_PR="","",TITLE_NAME_OR_PR),TITLE_NAME_OR_PR_CHANGE)</f>
        <v/>
      </c>
      <c r="W31" s="1105"/>
      <c r="X31" s="1105"/>
      <c r="Y31" s="1105"/>
      <c r="Z31" s="1105"/>
      <c r="AA31" s="1105"/>
      <c r="AB31" s="1105"/>
      <c r="AD31" s="1105" t="str">
        <f>IF(TITLE_NAME_OR_PR_CHANGE="",IF(TITLE_NAME_OR_PR="","",TITLE_NAME_OR_PR),TITLE_NAME_OR_PR_CHANGE)</f>
        <v/>
      </c>
      <c r="AE31" s="1105"/>
      <c r="AF31" s="1105"/>
      <c r="AG31" s="1105"/>
      <c r="AH31" s="1105"/>
      <c r="AI31" s="1105"/>
      <c r="AJ31" s="1105"/>
      <c r="AK31" s="1105"/>
      <c r="AL31" s="1105"/>
      <c r="AM31" s="1105"/>
      <c r="AN31" s="1105"/>
      <c r="AO31" s="1105"/>
      <c r="AP31" s="1105"/>
      <c r="AQ31" s="1105"/>
      <c r="AR31" s="1105"/>
      <c r="AS31" s="1105"/>
      <c r="AT31" s="1105"/>
      <c r="AU31" s="1105"/>
      <c r="AV31" s="1105"/>
      <c r="AW31" s="1105"/>
      <c r="AX31" s="1105"/>
      <c r="AY31" s="1105"/>
      <c r="AZ31" s="1105"/>
      <c r="BI31" s="111">
        <v>0</v>
      </c>
    </row>
    <row r="32" spans="5:61" ht="18.75" hidden="1" customHeight="1">
      <c r="S32" s="1103" t="s">
        <v>424</v>
      </c>
      <c r="T32" s="1103"/>
      <c r="U32" s="337"/>
      <c r="V32" s="1104" t="str">
        <f>IF(TITLE_DATE_PR_CHANGE="",IF(TITLE_DATE_PR="","",TITLE_DATE_PR),TITLE_DATE_PR_CHANGE)</f>
        <v/>
      </c>
      <c r="W32" s="1104"/>
      <c r="X32" s="1104"/>
      <c r="Y32" s="1104"/>
      <c r="Z32" s="1104"/>
      <c r="AA32" s="1104"/>
      <c r="AB32" s="1104"/>
      <c r="AD32" s="1104" t="str">
        <f>IF(TITLE_DATE_PR_CHANGE="",IF(TITLE_DATE_PR="","",TITLE_DATE_PR),TITLE_DATE_PR_CHANGE)</f>
        <v/>
      </c>
      <c r="AE32" s="1104"/>
      <c r="AF32" s="1104"/>
      <c r="AG32" s="1104"/>
      <c r="AH32" s="1104"/>
      <c r="AI32" s="1104"/>
      <c r="AJ32" s="1104"/>
      <c r="AK32" s="1104"/>
      <c r="AL32" s="1104"/>
      <c r="AM32" s="1104"/>
      <c r="AN32" s="1104"/>
      <c r="AO32" s="1104"/>
      <c r="AP32" s="1104"/>
      <c r="AQ32" s="1104"/>
      <c r="AR32" s="1104"/>
      <c r="AS32" s="1104"/>
      <c r="AT32" s="1104"/>
      <c r="AU32" s="1104"/>
      <c r="AV32" s="1104"/>
      <c r="AW32" s="1104"/>
      <c r="AX32" s="1104"/>
      <c r="AY32" s="1104"/>
      <c r="AZ32" s="1104"/>
      <c r="BI32" s="111">
        <v>0</v>
      </c>
    </row>
    <row r="33" spans="1:61" ht="18.75" hidden="1" customHeight="1">
      <c r="S33" s="1103" t="s">
        <v>425</v>
      </c>
      <c r="T33" s="1103"/>
      <c r="U33" s="337"/>
      <c r="V33" s="1105" t="str">
        <f>IF(TITLE_NUMBER_PR_CHANGE="",IF(TITLE_NUMBER_PR="","",TITLE_NUMBER_PR),TITLE_NUMBER_PR_CHANGE)</f>
        <v/>
      </c>
      <c r="W33" s="1105"/>
      <c r="X33" s="1105"/>
      <c r="Y33" s="1105"/>
      <c r="Z33" s="1105"/>
      <c r="AA33" s="1105"/>
      <c r="AB33" s="1105"/>
      <c r="AD33" s="1105" t="str">
        <f>IF(TITLE_NUMBER_PR_CHANGE="",IF(TITLE_NUMBER_PR="","",TITLE_NUMBER_PR),TITLE_NUMBER_PR_CHANGE)</f>
        <v/>
      </c>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I33" s="111">
        <v>0</v>
      </c>
    </row>
    <row r="34" spans="1:61" ht="18.75" hidden="1" customHeight="1">
      <c r="S34" s="1103" t="s">
        <v>43</v>
      </c>
      <c r="T34" s="1103"/>
      <c r="U34" s="337"/>
      <c r="V34" s="1105" t="str">
        <f>IF(TITLE_IST_PUB_CHANGE="",IF(TITLE_IST_PUB="","",TITLE_IST_PUB),TITLE_IST_PUB_CHANGE)</f>
        <v/>
      </c>
      <c r="W34" s="1105"/>
      <c r="X34" s="1105"/>
      <c r="Y34" s="1105"/>
      <c r="Z34" s="1105"/>
      <c r="AA34" s="1105"/>
      <c r="AB34" s="1105"/>
      <c r="AD34" s="1105" t="str">
        <f>IF(TITLE_IST_PUB_CHANGE="",IF(TITLE_IST_PUB="","",TITLE_IST_PUB),TITLE_IST_PUB_CHANGE)</f>
        <v/>
      </c>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5"/>
      <c r="AZ34" s="1105"/>
      <c r="BI34" s="111">
        <v>0</v>
      </c>
    </row>
    <row r="35" spans="1:61" ht="14.25" hidden="1" customHeight="1">
      <c r="Q35" s="418"/>
      <c r="R35" s="333"/>
      <c r="S35" s="334"/>
      <c r="T35" s="38"/>
      <c r="U35" s="38"/>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I35" s="17">
        <v>0</v>
      </c>
    </row>
    <row r="36" spans="1:61" ht="18.75" hidden="1" customHeight="1">
      <c r="S36" s="1103" t="s">
        <v>424</v>
      </c>
      <c r="T36" s="1103"/>
      <c r="U36" s="337"/>
      <c r="V36" s="1104" t="str">
        <f>IF(TITLE_DATE_PR_CHANGE="",IF(TITLE_DATE_PR="","",TITLE_DATE_PR),TITLE_DATE_PR_CHANGE)</f>
        <v/>
      </c>
      <c r="W36" s="1104"/>
      <c r="X36" s="1104"/>
      <c r="Y36" s="1104"/>
      <c r="Z36" s="1104"/>
      <c r="AA36" s="1104"/>
      <c r="AB36" s="1104"/>
      <c r="AD36" s="1104" t="str">
        <f>IF(TITLE_DATE_PR_CHANGE="",IF(TITLE_DATE_PR="","",TITLE_DATE_PR),TITLE_DATE_PR_CHANGE)</f>
        <v/>
      </c>
      <c r="AE36" s="1104"/>
      <c r="AF36" s="1104"/>
      <c r="AG36" s="1104"/>
      <c r="AH36" s="1104"/>
      <c r="AI36" s="1104"/>
      <c r="AJ36" s="1104"/>
      <c r="AK36" s="1104"/>
      <c r="AL36" s="1104"/>
      <c r="AM36" s="1104"/>
      <c r="AN36" s="1104"/>
      <c r="AO36" s="1104"/>
      <c r="AP36" s="1104"/>
      <c r="AQ36" s="1104"/>
      <c r="AR36" s="1104"/>
      <c r="AS36" s="1104"/>
      <c r="AT36" s="1104"/>
      <c r="AU36" s="1104"/>
      <c r="AV36" s="1104"/>
      <c r="AW36" s="1104"/>
      <c r="AX36" s="1104"/>
      <c r="AY36" s="1104"/>
      <c r="AZ36" s="1104"/>
      <c r="BI36" s="111">
        <v>0</v>
      </c>
    </row>
    <row r="37" spans="1:61" ht="18.75" hidden="1" customHeight="1">
      <c r="S37" s="1103" t="s">
        <v>425</v>
      </c>
      <c r="T37" s="1103"/>
      <c r="U37" s="337"/>
      <c r="V37" s="1105" t="str">
        <f>IF(TITLE_NUMBER_PR_CHANGE="",IF(TITLE_NUMBER_PR="","",TITLE_NUMBER_PR),TITLE_NUMBER_PR_CHANGE)</f>
        <v/>
      </c>
      <c r="W37" s="1105"/>
      <c r="X37" s="1105"/>
      <c r="Y37" s="1105"/>
      <c r="Z37" s="1105"/>
      <c r="AA37" s="1105"/>
      <c r="AB37" s="1105"/>
      <c r="AD37" s="1105" t="str">
        <f>IF(TITLE_NUMBER_PR_CHANGE="",IF(TITLE_NUMBER_PR="","",TITLE_NUMBER_PR),TITLE_NUMBER_PR_CHANGE)</f>
        <v/>
      </c>
      <c r="AE37" s="1105"/>
      <c r="AF37" s="1105"/>
      <c r="AG37" s="1105"/>
      <c r="AH37" s="1105"/>
      <c r="AI37" s="1105"/>
      <c r="AJ37" s="1105"/>
      <c r="AK37" s="1105"/>
      <c r="AL37" s="1105"/>
      <c r="AM37" s="1105"/>
      <c r="AN37" s="1105"/>
      <c r="AO37" s="1105"/>
      <c r="AP37" s="1105"/>
      <c r="AQ37" s="1105"/>
      <c r="AR37" s="1105"/>
      <c r="AS37" s="1105"/>
      <c r="AT37" s="1105"/>
      <c r="AU37" s="1105"/>
      <c r="AV37" s="1105"/>
      <c r="AW37" s="1105"/>
      <c r="AX37" s="1105"/>
      <c r="AY37" s="1105"/>
      <c r="AZ37" s="1105"/>
      <c r="BI37" s="111">
        <v>0</v>
      </c>
    </row>
    <row r="38" spans="1:61" ht="0" hidden="1" customHeight="1">
      <c r="AC38" s="75" t="s">
        <v>428</v>
      </c>
      <c r="BA38" s="75" t="s">
        <v>428</v>
      </c>
      <c r="BI38" s="111">
        <v>0</v>
      </c>
    </row>
    <row r="39" spans="1:61" ht="14.65" customHeight="1">
      <c r="Q39" s="418"/>
      <c r="R39" s="333"/>
      <c r="S39" s="334"/>
      <c r="T39" s="38"/>
      <c r="U39" s="339"/>
      <c r="V39" s="1123"/>
      <c r="W39" s="1123"/>
      <c r="X39" s="1123"/>
      <c r="Y39" s="1123"/>
      <c r="Z39" s="1123"/>
      <c r="AA39" s="1123"/>
      <c r="AB39" s="1123"/>
      <c r="AC39" s="1123"/>
      <c r="AD39" s="1123"/>
      <c r="AE39" s="1123"/>
      <c r="AF39" s="1123"/>
      <c r="AG39" s="1123"/>
      <c r="AH39" s="1123"/>
      <c r="AI39" s="1123"/>
      <c r="AJ39" s="1123"/>
      <c r="AK39" s="1123"/>
      <c r="AL39" s="1123"/>
      <c r="AM39" s="1123"/>
      <c r="AN39" s="1123"/>
      <c r="AO39" s="1123"/>
      <c r="AP39" s="1123"/>
      <c r="AQ39" s="1123"/>
      <c r="AR39" s="1123"/>
      <c r="AS39" s="1123"/>
      <c r="AT39" s="1123"/>
      <c r="AU39" s="1123"/>
      <c r="AV39" s="1123"/>
      <c r="AW39" s="1123"/>
      <c r="AX39" s="1123"/>
      <c r="AY39" s="1123"/>
      <c r="AZ39" s="1123"/>
      <c r="BA39" s="1123"/>
      <c r="BI39" s="17">
        <v>14</v>
      </c>
    </row>
    <row r="40" spans="1:61" ht="14.65" customHeight="1">
      <c r="Q40" s="418"/>
      <c r="R40" s="333"/>
      <c r="S40" s="995" t="s">
        <v>301</v>
      </c>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c r="AU40" s="995"/>
      <c r="AV40" s="995"/>
      <c r="AW40" s="995"/>
      <c r="AX40" s="995"/>
      <c r="AY40" s="995"/>
      <c r="AZ40" s="995"/>
      <c r="BA40" s="995"/>
      <c r="BB40" s="995"/>
      <c r="BC40" s="995" t="s">
        <v>302</v>
      </c>
      <c r="BI40" s="17">
        <v>14</v>
      </c>
    </row>
    <row r="41" spans="1:61" ht="14.65" customHeight="1">
      <c r="Q41" s="418"/>
      <c r="R41" s="333"/>
      <c r="S41" s="1124" t="s">
        <v>88</v>
      </c>
      <c r="T41" s="1073" t="s">
        <v>508</v>
      </c>
      <c r="U41" s="341"/>
      <c r="V41" s="1125" t="s">
        <v>430</v>
      </c>
      <c r="W41" s="1126"/>
      <c r="X41" s="1126"/>
      <c r="Y41" s="1126"/>
      <c r="Z41" s="1126"/>
      <c r="AA41" s="1126"/>
      <c r="AB41" s="1127"/>
      <c r="AC41" s="1128" t="s">
        <v>431</v>
      </c>
      <c r="AD41" s="1157" t="s">
        <v>509</v>
      </c>
      <c r="AE41" s="1141"/>
      <c r="AF41" s="1141"/>
      <c r="AG41" s="1158"/>
      <c r="AH41" s="1157" t="s">
        <v>510</v>
      </c>
      <c r="AI41" s="1141"/>
      <c r="AJ41" s="1141"/>
      <c r="AK41" s="1158"/>
      <c r="AL41" s="1157" t="s">
        <v>511</v>
      </c>
      <c r="AM41" s="1141"/>
      <c r="AN41" s="1141"/>
      <c r="AO41" s="1158"/>
      <c r="AP41" s="1157" t="s">
        <v>512</v>
      </c>
      <c r="AQ41" s="1141"/>
      <c r="AR41" s="1141"/>
      <c r="AS41" s="1158"/>
      <c r="AT41" s="1125" t="s">
        <v>430</v>
      </c>
      <c r="AU41" s="1126"/>
      <c r="AV41" s="1126"/>
      <c r="AW41" s="1126"/>
      <c r="AX41" s="1126"/>
      <c r="AY41" s="1126"/>
      <c r="AZ41" s="1127"/>
      <c r="BA41" s="1128" t="s">
        <v>431</v>
      </c>
      <c r="BB41" s="1131" t="s">
        <v>433</v>
      </c>
      <c r="BC41" s="995"/>
      <c r="BI41" s="17">
        <v>14</v>
      </c>
    </row>
    <row r="42" spans="1:61" ht="35.65" customHeight="1">
      <c r="Q42" s="418"/>
      <c r="R42" s="333"/>
      <c r="S42" s="1124"/>
      <c r="T42" s="1073"/>
      <c r="U42" s="343"/>
      <c r="V42" s="1047" t="s">
        <v>513</v>
      </c>
      <c r="W42" s="1048"/>
      <c r="X42" s="1047" t="s">
        <v>514</v>
      </c>
      <c r="Y42" s="1048"/>
      <c r="Z42" s="1047" t="s">
        <v>515</v>
      </c>
      <c r="AA42" s="1153"/>
      <c r="AB42" s="1048"/>
      <c r="AC42" s="1129"/>
      <c r="AD42" s="1159"/>
      <c r="AE42" s="1160"/>
      <c r="AF42" s="1160"/>
      <c r="AG42" s="1172"/>
      <c r="AH42" s="1159"/>
      <c r="AI42" s="1160"/>
      <c r="AJ42" s="1160"/>
      <c r="AK42" s="1172"/>
      <c r="AL42" s="1159"/>
      <c r="AM42" s="1160"/>
      <c r="AN42" s="1160"/>
      <c r="AO42" s="1172"/>
      <c r="AP42" s="1159"/>
      <c r="AQ42" s="1160"/>
      <c r="AR42" s="1160"/>
      <c r="AS42" s="1172"/>
      <c r="AT42" s="1047" t="s">
        <v>513</v>
      </c>
      <c r="AU42" s="1048"/>
      <c r="AV42" s="1047" t="s">
        <v>514</v>
      </c>
      <c r="AW42" s="1048"/>
      <c r="AX42" s="1047" t="s">
        <v>515</v>
      </c>
      <c r="AY42" s="1153"/>
      <c r="AZ42" s="1048"/>
      <c r="BA42" s="1129"/>
      <c r="BB42" s="1132"/>
      <c r="BC42" s="995"/>
      <c r="BI42" s="17">
        <v>34</v>
      </c>
    </row>
    <row r="43" spans="1:61" ht="14.65" customHeight="1">
      <c r="Q43" s="418"/>
      <c r="R43" s="333"/>
      <c r="S43" s="1124"/>
      <c r="T43" s="1073"/>
      <c r="U43" s="343"/>
      <c r="V43" s="1052"/>
      <c r="W43" s="1053"/>
      <c r="X43" s="1052"/>
      <c r="Y43" s="1053"/>
      <c r="Z43" s="1052"/>
      <c r="AA43" s="1154"/>
      <c r="AB43" s="1053"/>
      <c r="AC43" s="1129"/>
      <c r="AD43" s="1159"/>
      <c r="AE43" s="1160"/>
      <c r="AF43" s="1160"/>
      <c r="AG43" s="1172"/>
      <c r="AH43" s="1159"/>
      <c r="AI43" s="1160"/>
      <c r="AJ43" s="1160"/>
      <c r="AK43" s="1172"/>
      <c r="AL43" s="1159"/>
      <c r="AM43" s="1160"/>
      <c r="AN43" s="1160"/>
      <c r="AO43" s="1172"/>
      <c r="AP43" s="1159"/>
      <c r="AQ43" s="1160"/>
      <c r="AR43" s="1160"/>
      <c r="AS43" s="1172"/>
      <c r="AT43" s="1052"/>
      <c r="AU43" s="1053"/>
      <c r="AV43" s="1052"/>
      <c r="AW43" s="1053"/>
      <c r="AX43" s="1052"/>
      <c r="AY43" s="1154"/>
      <c r="AZ43" s="1053"/>
      <c r="BA43" s="1129"/>
      <c r="BB43" s="1132"/>
      <c r="BC43" s="995"/>
      <c r="BI43" s="17">
        <v>14</v>
      </c>
    </row>
    <row r="44" spans="1:61" ht="14.65" customHeight="1">
      <c r="B44" s="126" t="s">
        <v>138</v>
      </c>
      <c r="C44" s="126" t="s">
        <v>139</v>
      </c>
      <c r="D44" s="126" t="s">
        <v>140</v>
      </c>
      <c r="E44" s="306" t="s">
        <v>438</v>
      </c>
      <c r="F44" s="306" t="s">
        <v>439</v>
      </c>
      <c r="G44" s="306" t="s">
        <v>440</v>
      </c>
      <c r="H44" s="306" t="s">
        <v>441</v>
      </c>
      <c r="I44" s="306" t="s">
        <v>442</v>
      </c>
      <c r="J44" s="306" t="s">
        <v>443</v>
      </c>
      <c r="K44" s="306" t="s">
        <v>444</v>
      </c>
      <c r="L44" s="306" t="s">
        <v>419</v>
      </c>
      <c r="Q44" s="418"/>
      <c r="R44" s="333"/>
      <c r="S44" s="1124"/>
      <c r="T44" s="1073"/>
      <c r="U44" s="344"/>
      <c r="V44" s="189" t="s">
        <v>479</v>
      </c>
      <c r="W44" s="189" t="s">
        <v>480</v>
      </c>
      <c r="X44" s="189" t="s">
        <v>479</v>
      </c>
      <c r="Y44" s="189" t="s">
        <v>480</v>
      </c>
      <c r="Z44" s="134" t="s">
        <v>447</v>
      </c>
      <c r="AA44" s="1078" t="s">
        <v>448</v>
      </c>
      <c r="AB44" s="1092"/>
      <c r="AC44" s="1130"/>
      <c r="AD44" s="1161"/>
      <c r="AE44" s="1162"/>
      <c r="AF44" s="1162"/>
      <c r="AG44" s="1163"/>
      <c r="AH44" s="1161"/>
      <c r="AI44" s="1162"/>
      <c r="AJ44" s="1162"/>
      <c r="AK44" s="1163"/>
      <c r="AL44" s="1161"/>
      <c r="AM44" s="1162"/>
      <c r="AN44" s="1162"/>
      <c r="AO44" s="1163"/>
      <c r="AP44" s="1161"/>
      <c r="AQ44" s="1162"/>
      <c r="AR44" s="1162"/>
      <c r="AS44" s="1163"/>
      <c r="AT44" s="189" t="s">
        <v>479</v>
      </c>
      <c r="AU44" s="189" t="s">
        <v>480</v>
      </c>
      <c r="AV44" s="189" t="s">
        <v>479</v>
      </c>
      <c r="AW44" s="189" t="s">
        <v>480</v>
      </c>
      <c r="AX44" s="134" t="s">
        <v>447</v>
      </c>
      <c r="AY44" s="1078" t="s">
        <v>448</v>
      </c>
      <c r="AZ44" s="1092"/>
      <c r="BA44" s="1130"/>
      <c r="BB44" s="1133"/>
      <c r="BC44" s="995"/>
      <c r="BI44" s="17">
        <v>14</v>
      </c>
    </row>
    <row r="45" spans="1:61" ht="0" hidden="1" customHeight="1">
      <c r="Q45" s="348"/>
      <c r="R45" s="348">
        <v>1</v>
      </c>
      <c r="S45" s="349" t="s">
        <v>110</v>
      </c>
      <c r="T45" s="350" t="s">
        <v>111</v>
      </c>
      <c r="U45" s="351" t="str">
        <f ca="1">OFFSET(U45,0,-1)</f>
        <v>2</v>
      </c>
      <c r="V45" s="352">
        <f t="shared" ref="V45:AA45" ca="1" si="2">OFFSET(V45,0,-1)+1</f>
        <v>3</v>
      </c>
      <c r="W45" s="352">
        <f t="shared" ca="1" si="2"/>
        <v>4</v>
      </c>
      <c r="X45" s="352">
        <f t="shared" ca="1" si="2"/>
        <v>5</v>
      </c>
      <c r="Y45" s="352">
        <f t="shared" ca="1" si="2"/>
        <v>6</v>
      </c>
      <c r="Z45" s="352">
        <f t="shared" ca="1" si="2"/>
        <v>7</v>
      </c>
      <c r="AA45" s="1122">
        <f t="shared" ca="1" si="2"/>
        <v>8</v>
      </c>
      <c r="AB45" s="1122"/>
      <c r="AC45" s="352">
        <f ca="1">OFFSET(AC45,0,-2)+1</f>
        <v>9</v>
      </c>
      <c r="AD45" s="352">
        <f ca="1">OFFSET(AD45,0,-1)+1</f>
        <v>10</v>
      </c>
      <c r="AE45" s="352"/>
      <c r="AF45" s="352"/>
      <c r="AG45" s="352"/>
      <c r="AH45" s="352"/>
      <c r="AI45" s="352"/>
      <c r="AJ45" s="352"/>
      <c r="AK45" s="352"/>
      <c r="AL45" s="352"/>
      <c r="AM45" s="352"/>
      <c r="AN45" s="352"/>
      <c r="AO45" s="352"/>
      <c r="AP45" s="352"/>
      <c r="AQ45" s="352"/>
      <c r="AR45" s="352"/>
      <c r="AS45" s="352"/>
      <c r="AT45" s="352"/>
      <c r="AU45" s="352"/>
      <c r="AV45" s="352"/>
      <c r="AW45" s="352">
        <f ca="1">OFFSET(AW45,0,-1)+1</f>
        <v>1</v>
      </c>
      <c r="AX45" s="352">
        <f ca="1">OFFSET(AX45,0,-1)+1</f>
        <v>2</v>
      </c>
      <c r="AY45" s="1122">
        <f ca="1">OFFSET(AY45,0,-1)+1</f>
        <v>3</v>
      </c>
      <c r="AZ45" s="1122"/>
      <c r="BA45" s="352">
        <f ca="1">OFFSET(BA45,0,-2)+1</f>
        <v>4</v>
      </c>
      <c r="BB45" s="351">
        <f ca="1">OFFSET(BB45,0,-1)</f>
        <v>4</v>
      </c>
      <c r="BC45" s="352">
        <f ca="1">OFFSET(BC45,0,-1)+1</f>
        <v>5</v>
      </c>
      <c r="BI45" s="258">
        <v>0</v>
      </c>
    </row>
    <row r="46" spans="1:61" ht="21.95" customHeight="1">
      <c r="A46" s="353" t="s">
        <v>262</v>
      </c>
      <c r="E46" s="1111">
        <v>1</v>
      </c>
      <c r="R46" s="294"/>
      <c r="S46" s="295">
        <f>INDEX(PT_DIFFERENTIATION_NUM_NTAR,MATCH(A46,PT_DIFFERENTIATION_NTAR_ID,0))</f>
        <v>0</v>
      </c>
      <c r="T46" s="296" t="s">
        <v>126</v>
      </c>
      <c r="U46" s="297"/>
      <c r="V46" s="1107"/>
      <c r="W46" s="1107"/>
      <c r="X46" s="1107"/>
      <c r="Y46" s="1107"/>
      <c r="Z46" s="1107"/>
      <c r="AA46" s="1107"/>
      <c r="AB46" s="1107"/>
      <c r="AC46" s="1108"/>
      <c r="AD46" s="1106" t="str">
        <f>INDEX(PT_DIFFERENTIATION_NTAR,MATCH(A46,PT_DIFFERENTIATION_NTAR_ID,0))</f>
        <v/>
      </c>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8"/>
      <c r="BC46" s="2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87" t="str">
        <f t="shared" ref="BF46:BF52" si="3">IF(T46="","",T46)</f>
        <v>Наименование тарифа</v>
      </c>
      <c r="BI46" s="17">
        <v>21</v>
      </c>
    </row>
    <row r="47" spans="1:61" ht="21.95" customHeight="1">
      <c r="A47" s="353" t="s">
        <v>262</v>
      </c>
      <c r="B47" s="353" t="s">
        <v>263</v>
      </c>
      <c r="E47" s="1112"/>
      <c r="F47" s="1111">
        <v>1</v>
      </c>
      <c r="Q47" s="397"/>
      <c r="R47" s="301"/>
      <c r="S47" s="295" t="str">
        <f>INDEX(PT_DIFFERENTIATION_NUM_TER,MATCH(B47,PT_DIFFERENTIATION_TER_ID,0))</f>
        <v>.</v>
      </c>
      <c r="T47" s="302" t="s">
        <v>398</v>
      </c>
      <c r="U47" s="297"/>
      <c r="V47" s="1107"/>
      <c r="W47" s="1107"/>
      <c r="X47" s="1107"/>
      <c r="Y47" s="1107"/>
      <c r="Z47" s="1107"/>
      <c r="AA47" s="1107"/>
      <c r="AB47" s="1107"/>
      <c r="AC47" s="1108"/>
      <c r="AD47" s="1106" t="str">
        <f>INDEX(PT_DIFFERENTIATION_TER,MATCH(B47,PT_DIFFERENTIATION_TER_ID,0))</f>
        <v/>
      </c>
      <c r="AE47" s="1107"/>
      <c r="AF47" s="1107"/>
      <c r="AG47" s="1107"/>
      <c r="AH47" s="1107"/>
      <c r="AI47" s="1107"/>
      <c r="AJ47" s="1107"/>
      <c r="AK47" s="1107"/>
      <c r="AL47" s="1107"/>
      <c r="AM47" s="1107"/>
      <c r="AN47" s="1107"/>
      <c r="AO47" s="1107"/>
      <c r="AP47" s="1107"/>
      <c r="AQ47" s="1107"/>
      <c r="AR47" s="1107"/>
      <c r="AS47" s="1107"/>
      <c r="AT47" s="1107"/>
      <c r="AU47" s="1107"/>
      <c r="AV47" s="1107"/>
      <c r="AW47" s="1107"/>
      <c r="AX47" s="1107"/>
      <c r="AY47" s="1107"/>
      <c r="AZ47" s="1107"/>
      <c r="BA47" s="1107"/>
      <c r="BB47" s="1108"/>
      <c r="BC47" s="299" t="s">
        <v>399</v>
      </c>
      <c r="BF47" s="87" t="str">
        <f t="shared" si="3"/>
        <v>Территория действия тарифа</v>
      </c>
      <c r="BI47" s="17">
        <v>21</v>
      </c>
    </row>
    <row r="48" spans="1:61" ht="35.65" customHeight="1">
      <c r="A48" s="353" t="s">
        <v>262</v>
      </c>
      <c r="B48" s="353" t="s">
        <v>263</v>
      </c>
      <c r="C48" s="353" t="s">
        <v>264</v>
      </c>
      <c r="E48" s="1112"/>
      <c r="F48" s="1112"/>
      <c r="G48" s="1111">
        <v>1</v>
      </c>
      <c r="Q48" s="397"/>
      <c r="R48" s="301"/>
      <c r="S48" s="295" t="str">
        <f>INDEX(PT_DIFFERENTIATION_NUM_CS,MATCH(C48,PT_DIFFERENTIATION_CS_ID,0))</f>
        <v>..</v>
      </c>
      <c r="T48" s="303" t="s">
        <v>531</v>
      </c>
      <c r="U48" s="297"/>
      <c r="V48" s="1107"/>
      <c r="W48" s="1107"/>
      <c r="X48" s="1107"/>
      <c r="Y48" s="1107"/>
      <c r="Z48" s="1107"/>
      <c r="AA48" s="1107"/>
      <c r="AB48" s="1107"/>
      <c r="AC48" s="1108"/>
      <c r="AD48" s="1106" t="str">
        <f>INDEX(PT_DIFFERENTIATION_CS,MATCH(C48,PT_DIFFERENTIATION_CS_ID,0))</f>
        <v/>
      </c>
      <c r="AE48" s="1107"/>
      <c r="AF48" s="1107"/>
      <c r="AG48" s="1107"/>
      <c r="AH48" s="1107"/>
      <c r="AI48" s="1107"/>
      <c r="AJ48" s="1107"/>
      <c r="AK48" s="1107"/>
      <c r="AL48" s="1107"/>
      <c r="AM48" s="1107"/>
      <c r="AN48" s="1107"/>
      <c r="AO48" s="1107"/>
      <c r="AP48" s="1107"/>
      <c r="AQ48" s="1107"/>
      <c r="AR48" s="1107"/>
      <c r="AS48" s="1107"/>
      <c r="AT48" s="1107"/>
      <c r="AU48" s="1107"/>
      <c r="AV48" s="1107"/>
      <c r="AW48" s="1107"/>
      <c r="AX48" s="1107"/>
      <c r="AY48" s="1107"/>
      <c r="AZ48" s="1107"/>
      <c r="BA48" s="1107"/>
      <c r="BB48" s="1108"/>
      <c r="BC48" s="299" t="s">
        <v>532</v>
      </c>
      <c r="BF48" s="87" t="str">
        <f t="shared" si="3"/>
        <v>Наименование централизованной системы горячего водоснабжения</v>
      </c>
      <c r="BI48" s="17">
        <v>34</v>
      </c>
    </row>
    <row r="49" spans="1:61" ht="0" hidden="1" customHeight="1">
      <c r="A49" s="72" t="s">
        <v>262</v>
      </c>
      <c r="B49" s="72" t="s">
        <v>263</v>
      </c>
      <c r="C49" s="72" t="s">
        <v>264</v>
      </c>
      <c r="D49" s="72" t="s">
        <v>545</v>
      </c>
      <c r="E49" s="1112"/>
      <c r="F49" s="1112"/>
      <c r="G49" s="1112"/>
      <c r="H49" s="1111">
        <v>1</v>
      </c>
      <c r="Q49" s="435"/>
      <c r="R49" s="309"/>
      <c r="S49" s="193"/>
      <c r="T49" s="436"/>
      <c r="U49" s="364"/>
      <c r="V49" s="1143"/>
      <c r="W49" s="1143"/>
      <c r="X49" s="1143"/>
      <c r="Y49" s="1143"/>
      <c r="Z49" s="1143"/>
      <c r="AA49" s="1143"/>
      <c r="AB49" s="1143"/>
      <c r="AC49" s="1144"/>
      <c r="AD49" s="1142"/>
      <c r="AE49" s="1143"/>
      <c r="AF49" s="1143"/>
      <c r="AG49" s="1143"/>
      <c r="AH49" s="1143"/>
      <c r="AI49" s="1143"/>
      <c r="AJ49" s="1143"/>
      <c r="AK49" s="1143"/>
      <c r="AL49" s="1143"/>
      <c r="AM49" s="1143"/>
      <c r="AN49" s="1143"/>
      <c r="AO49" s="1143"/>
      <c r="AP49" s="1143"/>
      <c r="AQ49" s="1143"/>
      <c r="AR49" s="1143"/>
      <c r="AS49" s="1143"/>
      <c r="AT49" s="1143"/>
      <c r="AU49" s="1143"/>
      <c r="AV49" s="1143"/>
      <c r="AW49" s="1143"/>
      <c r="AX49" s="1143"/>
      <c r="AY49" s="1143"/>
      <c r="AZ49" s="1143"/>
      <c r="BA49" s="1143"/>
      <c r="BB49" s="1144"/>
      <c r="BC49" s="366" t="s">
        <v>403</v>
      </c>
      <c r="BF49" s="87" t="str">
        <f t="shared" si="3"/>
        <v/>
      </c>
      <c r="BI49" s="75">
        <v>0</v>
      </c>
    </row>
    <row r="50" spans="1:61" ht="0" hidden="1" customHeight="1">
      <c r="A50" s="72" t="s">
        <v>262</v>
      </c>
      <c r="B50" s="72" t="s">
        <v>263</v>
      </c>
      <c r="C50" s="72" t="s">
        <v>264</v>
      </c>
      <c r="D50" s="72" t="s">
        <v>545</v>
      </c>
      <c r="E50" s="1112"/>
      <c r="F50" s="1112"/>
      <c r="G50" s="1112"/>
      <c r="H50" s="1112"/>
      <c r="I50" s="1113" t="str">
        <f>S49&amp;".1"</f>
        <v>.1</v>
      </c>
      <c r="L50" s="371" t="s">
        <v>404</v>
      </c>
      <c r="P50" s="1115">
        <v>1</v>
      </c>
      <c r="R50" s="307"/>
      <c r="S50" s="193"/>
      <c r="T50" s="363"/>
      <c r="U50" s="364"/>
      <c r="V50" s="1143"/>
      <c r="W50" s="1143"/>
      <c r="X50" s="1143"/>
      <c r="Y50" s="1143"/>
      <c r="Z50" s="1143"/>
      <c r="AA50" s="1143"/>
      <c r="AB50" s="1143"/>
      <c r="AC50" s="1144"/>
      <c r="AD50" s="1142"/>
      <c r="AE50" s="1143"/>
      <c r="AF50" s="1143"/>
      <c r="AG50" s="1143"/>
      <c r="AH50" s="1143"/>
      <c r="AI50" s="1143"/>
      <c r="AJ50" s="1143"/>
      <c r="AK50" s="1143"/>
      <c r="AL50" s="1143"/>
      <c r="AM50" s="1143"/>
      <c r="AN50" s="1143"/>
      <c r="AO50" s="1143"/>
      <c r="AP50" s="1143"/>
      <c r="AQ50" s="1143"/>
      <c r="AR50" s="1143"/>
      <c r="AS50" s="1143"/>
      <c r="AT50" s="1143"/>
      <c r="AU50" s="1143"/>
      <c r="AV50" s="1143"/>
      <c r="AW50" s="1143"/>
      <c r="AX50" s="1143"/>
      <c r="AY50" s="1143"/>
      <c r="AZ50" s="1143"/>
      <c r="BA50" s="1143"/>
      <c r="BB50" s="1144"/>
      <c r="BC50" s="366"/>
      <c r="BF50" s="87" t="str">
        <f t="shared" si="3"/>
        <v/>
      </c>
      <c r="BI50" s="75">
        <v>0</v>
      </c>
    </row>
    <row r="51" spans="1:61" ht="0" hidden="1" customHeight="1">
      <c r="A51" s="72" t="s">
        <v>262</v>
      </c>
      <c r="B51" s="72" t="s">
        <v>263</v>
      </c>
      <c r="C51" s="72" t="s">
        <v>264</v>
      </c>
      <c r="D51" s="72" t="s">
        <v>545</v>
      </c>
      <c r="E51" s="1112"/>
      <c r="F51" s="1112"/>
      <c r="G51" s="1112"/>
      <c r="H51" s="1112"/>
      <c r="I51" s="1114"/>
      <c r="J51" s="1113" t="str">
        <f>S49&amp;".1"</f>
        <v>.1</v>
      </c>
      <c r="P51" s="964"/>
      <c r="Q51" s="1115">
        <v>1</v>
      </c>
      <c r="R51" s="309"/>
      <c r="S51" s="193"/>
      <c r="T51" s="398"/>
      <c r="U51" s="364"/>
      <c r="V51" s="1143"/>
      <c r="W51" s="1143"/>
      <c r="X51" s="1143"/>
      <c r="Y51" s="1143"/>
      <c r="Z51" s="1143"/>
      <c r="AA51" s="1143"/>
      <c r="AB51" s="1143"/>
      <c r="AC51" s="1144"/>
      <c r="AD51" s="1142"/>
      <c r="AE51" s="1143"/>
      <c r="AF51" s="1143"/>
      <c r="AG51" s="1143"/>
      <c r="AH51" s="1143"/>
      <c r="AI51" s="1143"/>
      <c r="AJ51" s="1143"/>
      <c r="AK51" s="1143"/>
      <c r="AL51" s="1143"/>
      <c r="AM51" s="1143"/>
      <c r="AN51" s="1194"/>
      <c r="AO51" s="1194"/>
      <c r="AP51" s="1143"/>
      <c r="AQ51" s="1143"/>
      <c r="AR51" s="1143"/>
      <c r="AS51" s="1143"/>
      <c r="AT51" s="1143"/>
      <c r="AU51" s="1143"/>
      <c r="AV51" s="1143"/>
      <c r="AW51" s="1143"/>
      <c r="AX51" s="1143"/>
      <c r="AY51" s="1143"/>
      <c r="AZ51" s="1143"/>
      <c r="BA51" s="1143"/>
      <c r="BB51" s="1144"/>
      <c r="BC51" s="366"/>
      <c r="BF51" s="87" t="str">
        <f t="shared" si="3"/>
        <v/>
      </c>
      <c r="BI51" s="75">
        <v>0</v>
      </c>
    </row>
    <row r="52" spans="1:61" ht="11.45" customHeight="1">
      <c r="A52" s="353" t="s">
        <v>262</v>
      </c>
      <c r="B52" s="353" t="s">
        <v>263</v>
      </c>
      <c r="C52" s="353" t="s">
        <v>264</v>
      </c>
      <c r="D52" s="353" t="s">
        <v>545</v>
      </c>
      <c r="E52" s="1112"/>
      <c r="F52" s="1112"/>
      <c r="G52" s="1112"/>
      <c r="H52" s="1112"/>
      <c r="I52" s="1114"/>
      <c r="J52" s="1114"/>
      <c r="K52" s="1113" t="str">
        <f>S48&amp;".1"</f>
        <v>...1</v>
      </c>
      <c r="P52" s="964"/>
      <c r="Q52" s="964"/>
      <c r="R52" s="309">
        <v>1</v>
      </c>
      <c r="S52" s="1168" t="str">
        <f>$K52</f>
        <v>...1</v>
      </c>
      <c r="T52" s="1188"/>
      <c r="U52" s="297"/>
      <c r="V52" s="312"/>
      <c r="W52" s="314"/>
      <c r="X52" s="312"/>
      <c r="Y52" s="314"/>
      <c r="Z52" s="315"/>
      <c r="AA52" s="122" t="s">
        <v>66</v>
      </c>
      <c r="AB52" s="315"/>
      <c r="AC52" s="122" t="s">
        <v>66</v>
      </c>
      <c r="AD52" s="1059" t="s">
        <v>66</v>
      </c>
      <c r="AE52" s="1164"/>
      <c r="AF52" s="1069">
        <v>1</v>
      </c>
      <c r="AG52" s="1187"/>
      <c r="AH52" s="1004" t="s">
        <v>66</v>
      </c>
      <c r="AI52" s="1164"/>
      <c r="AJ52" s="1069">
        <v>1</v>
      </c>
      <c r="AK52" s="1178" t="s">
        <v>22</v>
      </c>
      <c r="AL52" s="1004" t="s">
        <v>66</v>
      </c>
      <c r="AM52" s="1047"/>
      <c r="AN52" s="1069">
        <v>1</v>
      </c>
      <c r="AO52" s="1191"/>
      <c r="AP52" s="1192" t="s">
        <v>66</v>
      </c>
      <c r="AQ52" s="401"/>
      <c r="AR52" s="187">
        <v>1</v>
      </c>
      <c r="AS52" s="43" t="s">
        <v>22</v>
      </c>
      <c r="AT52" s="312"/>
      <c r="AU52" s="314"/>
      <c r="AV52" s="312"/>
      <c r="AW52" s="314"/>
      <c r="AX52" s="315"/>
      <c r="AY52" s="122" t="s">
        <v>66</v>
      </c>
      <c r="AZ52" s="315"/>
      <c r="BA52" s="122" t="s">
        <v>66</v>
      </c>
      <c r="BB52" s="354"/>
      <c r="BC52" s="1134" t="s">
        <v>502</v>
      </c>
      <c r="BF52" s="87" t="str">
        <f t="shared" si="3"/>
        <v/>
      </c>
      <c r="BI52" s="17">
        <v>11</v>
      </c>
    </row>
    <row r="53" spans="1:61" ht="11.45" customHeight="1">
      <c r="E53" s="1112"/>
      <c r="F53" s="1112"/>
      <c r="G53" s="1112"/>
      <c r="H53" s="1112"/>
      <c r="I53" s="1114"/>
      <c r="J53" s="1114"/>
      <c r="K53" s="1113"/>
      <c r="P53" s="964"/>
      <c r="Q53" s="964"/>
      <c r="R53" s="309"/>
      <c r="S53" s="1169"/>
      <c r="T53" s="1189"/>
      <c r="U53" s="297"/>
      <c r="V53" s="391"/>
      <c r="W53" s="404"/>
      <c r="X53" s="391"/>
      <c r="Y53" s="404"/>
      <c r="Z53" s="391"/>
      <c r="AA53" s="391"/>
      <c r="AB53" s="391"/>
      <c r="AC53" s="391"/>
      <c r="AD53" s="1060"/>
      <c r="AE53" s="1164"/>
      <c r="AF53" s="1069"/>
      <c r="AG53" s="1187"/>
      <c r="AH53" s="1004"/>
      <c r="AI53" s="1164"/>
      <c r="AJ53" s="1069"/>
      <c r="AK53" s="1178"/>
      <c r="AL53" s="1004"/>
      <c r="AM53" s="1052"/>
      <c r="AN53" s="1069"/>
      <c r="AO53" s="1191"/>
      <c r="AP53" s="1193"/>
      <c r="AQ53" s="403"/>
      <c r="AR53" s="105"/>
      <c r="AS53" s="105" t="s">
        <v>503</v>
      </c>
      <c r="AT53" s="391"/>
      <c r="AU53" s="404"/>
      <c r="AV53" s="391"/>
      <c r="AW53" s="404"/>
      <c r="AX53" s="391"/>
      <c r="AY53" s="391"/>
      <c r="AZ53" s="391"/>
      <c r="BA53" s="391"/>
      <c r="BB53" s="402"/>
      <c r="BC53" s="1135"/>
      <c r="BI53" s="17">
        <v>11</v>
      </c>
    </row>
    <row r="54" spans="1:61" ht="11.45" customHeight="1">
      <c r="A54" s="353" t="s">
        <v>262</v>
      </c>
      <c r="E54" s="1112"/>
      <c r="F54" s="1112"/>
      <c r="G54" s="1112"/>
      <c r="H54" s="1112"/>
      <c r="I54" s="1114"/>
      <c r="J54" s="1114"/>
      <c r="K54" s="1113"/>
      <c r="P54" s="964"/>
      <c r="Q54" s="964"/>
      <c r="R54" s="309"/>
      <c r="S54" s="1169"/>
      <c r="T54" s="1189"/>
      <c r="U54" s="297"/>
      <c r="V54" s="391"/>
      <c r="W54" s="404"/>
      <c r="X54" s="391"/>
      <c r="Y54" s="404"/>
      <c r="Z54" s="391"/>
      <c r="AA54" s="391"/>
      <c r="AB54" s="391"/>
      <c r="AC54" s="391"/>
      <c r="AD54" s="1060"/>
      <c r="AE54" s="1164"/>
      <c r="AF54" s="1069"/>
      <c r="AG54" s="1187"/>
      <c r="AH54" s="1004"/>
      <c r="AI54" s="1164"/>
      <c r="AJ54" s="1069"/>
      <c r="AK54" s="1178"/>
      <c r="AL54" s="1004"/>
      <c r="AM54" s="403"/>
      <c r="AN54" s="437"/>
      <c r="AO54" s="437" t="s">
        <v>504</v>
      </c>
      <c r="AP54" s="105"/>
      <c r="AQ54" s="105"/>
      <c r="AR54" s="105"/>
      <c r="AS54" s="391"/>
      <c r="AT54" s="391"/>
      <c r="AU54" s="404"/>
      <c r="AV54" s="391"/>
      <c r="AW54" s="404"/>
      <c r="AX54" s="391"/>
      <c r="AY54" s="391"/>
      <c r="AZ54" s="391"/>
      <c r="BA54" s="391"/>
      <c r="BB54" s="402"/>
      <c r="BC54" s="1135"/>
      <c r="BI54" s="17">
        <v>11</v>
      </c>
    </row>
    <row r="55" spans="1:61" ht="11.45" customHeight="1">
      <c r="A55" s="353" t="s">
        <v>262</v>
      </c>
      <c r="E55" s="1112"/>
      <c r="F55" s="1112"/>
      <c r="G55" s="1112"/>
      <c r="H55" s="1112"/>
      <c r="I55" s="1114"/>
      <c r="J55" s="1114"/>
      <c r="K55" s="1113"/>
      <c r="P55" s="964"/>
      <c r="Q55" s="964"/>
      <c r="R55" s="309"/>
      <c r="S55" s="1169"/>
      <c r="T55" s="1189"/>
      <c r="U55" s="297"/>
      <c r="V55" s="391"/>
      <c r="W55" s="404"/>
      <c r="X55" s="391"/>
      <c r="Y55" s="404"/>
      <c r="Z55" s="391"/>
      <c r="AA55" s="391"/>
      <c r="AB55" s="391"/>
      <c r="AC55" s="391"/>
      <c r="AD55" s="1060"/>
      <c r="AE55" s="1164"/>
      <c r="AF55" s="1069"/>
      <c r="AG55" s="1187"/>
      <c r="AH55" s="1004"/>
      <c r="AI55" s="406"/>
      <c r="AJ55" s="100"/>
      <c r="AK55" s="269" t="s">
        <v>505</v>
      </c>
      <c r="AL55" s="391"/>
      <c r="AM55" s="391"/>
      <c r="AN55" s="391"/>
      <c r="AO55" s="391"/>
      <c r="AP55" s="391"/>
      <c r="AQ55" s="391"/>
      <c r="AR55" s="391"/>
      <c r="AS55" s="391"/>
      <c r="AT55" s="391"/>
      <c r="AU55" s="404"/>
      <c r="AV55" s="391"/>
      <c r="AW55" s="404"/>
      <c r="AX55" s="391"/>
      <c r="AY55" s="391"/>
      <c r="AZ55" s="391"/>
      <c r="BA55" s="391"/>
      <c r="BB55" s="402"/>
      <c r="BC55" s="1135"/>
      <c r="BI55" s="17">
        <v>11</v>
      </c>
    </row>
    <row r="56" spans="1:61" ht="11.45" customHeight="1">
      <c r="A56" s="353" t="s">
        <v>262</v>
      </c>
      <c r="B56" s="353" t="s">
        <v>263</v>
      </c>
      <c r="C56" s="353" t="s">
        <v>264</v>
      </c>
      <c r="D56" s="353" t="s">
        <v>545</v>
      </c>
      <c r="E56" s="1112"/>
      <c r="F56" s="1112"/>
      <c r="G56" s="1112"/>
      <c r="H56" s="1112"/>
      <c r="I56" s="1114"/>
      <c r="J56" s="1114"/>
      <c r="K56" s="1113"/>
      <c r="P56" s="964"/>
      <c r="Q56" s="964"/>
      <c r="R56" s="309"/>
      <c r="S56" s="1170"/>
      <c r="T56" s="1190"/>
      <c r="U56" s="297"/>
      <c r="V56" s="391"/>
      <c r="W56" s="392" t="str">
        <f>Z52&amp;"-"&amp;AB52</f>
        <v>-</v>
      </c>
      <c r="X56" s="391"/>
      <c r="Y56" s="392" t="str">
        <f>AB52&amp;"-"&amp;AD52</f>
        <v>-да</v>
      </c>
      <c r="Z56" s="391"/>
      <c r="AA56" s="391"/>
      <c r="AB56" s="391"/>
      <c r="AC56" s="391"/>
      <c r="AD56" s="1009"/>
      <c r="AE56" s="408"/>
      <c r="AF56" s="409"/>
      <c r="AG56" s="105" t="s">
        <v>506</v>
      </c>
      <c r="AH56" s="391"/>
      <c r="AI56" s="391"/>
      <c r="AJ56" s="391"/>
      <c r="AK56" s="391"/>
      <c r="AL56" s="391"/>
      <c r="AM56" s="391"/>
      <c r="AN56" s="391"/>
      <c r="AO56" s="391"/>
      <c r="AP56" s="391"/>
      <c r="AQ56" s="391"/>
      <c r="AR56" s="391"/>
      <c r="AS56" s="391"/>
      <c r="AT56" s="391"/>
      <c r="AU56" s="392" t="str">
        <f>AX52&amp;"-"&amp;AZ52</f>
        <v>-</v>
      </c>
      <c r="AV56" s="391"/>
      <c r="AW56" s="392" t="str">
        <f>AZ52&amp;"-"&amp;BB52</f>
        <v>-</v>
      </c>
      <c r="AX56" s="391"/>
      <c r="AY56" s="391"/>
      <c r="AZ56" s="391"/>
      <c r="BA56" s="391"/>
      <c r="BB56" s="407" t="str">
        <f>BE52&amp;"-"&amp;BG52</f>
        <v>-</v>
      </c>
      <c r="BC56" s="1135"/>
      <c r="BF56" s="87" t="str">
        <f t="shared" ref="BF56:BF63" si="4">IF(T56="","",T56)</f>
        <v/>
      </c>
      <c r="BI56" s="17">
        <v>11</v>
      </c>
    </row>
    <row r="57" spans="1:61" ht="11.45" customHeight="1">
      <c r="A57" s="353" t="s">
        <v>262</v>
      </c>
      <c r="B57" s="353" t="s">
        <v>263</v>
      </c>
      <c r="C57" s="353" t="s">
        <v>264</v>
      </c>
      <c r="D57" s="353" t="s">
        <v>545</v>
      </c>
      <c r="E57" s="1112"/>
      <c r="F57" s="1112"/>
      <c r="G57" s="1112"/>
      <c r="H57" s="1112"/>
      <c r="I57" s="1114"/>
      <c r="J57" s="1113"/>
      <c r="P57" s="964"/>
      <c r="Q57" s="964"/>
      <c r="R57" s="307"/>
      <c r="S57" s="318"/>
      <c r="T57" s="321" t="s">
        <v>469</v>
      </c>
      <c r="U57" s="117"/>
      <c r="V57" s="117"/>
      <c r="W57" s="117"/>
      <c r="X57" s="117"/>
      <c r="Y57" s="117"/>
      <c r="Z57" s="117"/>
      <c r="AA57" s="117"/>
      <c r="AB57" s="117"/>
      <c r="AC57" s="320"/>
      <c r="AD57" s="422"/>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320"/>
      <c r="BC57" s="1136"/>
      <c r="BF57" s="87" t="str">
        <f t="shared" si="4"/>
        <v>Добавить строку</v>
      </c>
      <c r="BI57" s="17">
        <v>11</v>
      </c>
    </row>
    <row r="58" spans="1:61" ht="0" hidden="1" customHeight="1">
      <c r="A58" s="72" t="s">
        <v>262</v>
      </c>
      <c r="B58" s="72" t="s">
        <v>263</v>
      </c>
      <c r="C58" s="72" t="s">
        <v>264</v>
      </c>
      <c r="D58" s="72" t="s">
        <v>545</v>
      </c>
      <c r="E58" s="1112"/>
      <c r="F58" s="1112"/>
      <c r="G58" s="1112"/>
      <c r="H58" s="1112"/>
      <c r="I58" s="1113"/>
      <c r="P58" s="964"/>
      <c r="R58" s="307"/>
      <c r="S58" s="367"/>
      <c r="T58" s="368"/>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70"/>
      <c r="BF58" s="87" t="str">
        <f t="shared" si="4"/>
        <v/>
      </c>
      <c r="BI58" s="75">
        <v>0</v>
      </c>
    </row>
    <row r="59" spans="1:61" ht="0" hidden="1" customHeight="1">
      <c r="A59" s="72" t="s">
        <v>262</v>
      </c>
      <c r="B59" s="72" t="s">
        <v>263</v>
      </c>
      <c r="C59" s="72" t="s">
        <v>264</v>
      </c>
      <c r="D59" s="72" t="s">
        <v>545</v>
      </c>
      <c r="E59" s="1112"/>
      <c r="F59" s="1112"/>
      <c r="G59" s="1112"/>
      <c r="H59" s="1111"/>
      <c r="R59" s="410"/>
      <c r="S59" s="367"/>
      <c r="T59" s="368"/>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70"/>
      <c r="BF59" s="87" t="str">
        <f t="shared" si="4"/>
        <v/>
      </c>
      <c r="BI59" s="75">
        <v>0</v>
      </c>
    </row>
    <row r="60" spans="1:61" ht="0" hidden="1" customHeight="1">
      <c r="A60" s="72" t="s">
        <v>262</v>
      </c>
      <c r="B60" s="72" t="s">
        <v>263</v>
      </c>
      <c r="C60" s="72" t="s">
        <v>264</v>
      </c>
      <c r="E60" s="1112"/>
      <c r="F60" s="1112"/>
      <c r="G60" s="1111"/>
      <c r="BF60" s="87" t="str">
        <f t="shared" si="4"/>
        <v/>
      </c>
      <c r="BI60" s="75">
        <v>0</v>
      </c>
    </row>
    <row r="61" spans="1:61" ht="0" hidden="1" customHeight="1">
      <c r="A61" s="72" t="s">
        <v>262</v>
      </c>
      <c r="B61" s="72" t="s">
        <v>263</v>
      </c>
      <c r="E61" s="1112"/>
      <c r="F61" s="1111"/>
      <c r="T61" s="329" t="s">
        <v>416</v>
      </c>
      <c r="BF61" s="87" t="str">
        <f t="shared" si="4"/>
        <v>Добавить централизованную систему для дифференциации</v>
      </c>
      <c r="BI61" s="75">
        <v>0</v>
      </c>
    </row>
    <row r="62" spans="1:61" ht="0" hidden="1" customHeight="1">
      <c r="A62" s="72" t="s">
        <v>262</v>
      </c>
      <c r="E62" s="1111"/>
      <c r="T62" s="329" t="s">
        <v>417</v>
      </c>
      <c r="BF62" s="87" t="str">
        <f t="shared" si="4"/>
        <v>Добавить территорию для дифференциации</v>
      </c>
      <c r="BI62" s="75">
        <v>0</v>
      </c>
    </row>
    <row r="63" spans="1:61" ht="0" hidden="1" customHeight="1">
      <c r="T63" s="329" t="s">
        <v>449</v>
      </c>
      <c r="BF63" s="87" t="str">
        <f t="shared" si="4"/>
        <v>Добавить наименование тарифа</v>
      </c>
      <c r="BI63" s="75">
        <v>0</v>
      </c>
    </row>
    <row r="64" spans="1:61" ht="11.45" customHeight="1">
      <c r="BI64" s="17">
        <v>11</v>
      </c>
    </row>
    <row r="65" spans="1:61" ht="19.899999999999999" customHeight="1">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I65" s="17">
        <v>19</v>
      </c>
    </row>
    <row r="66" spans="1:61" ht="14.65" customHeight="1">
      <c r="BI66" s="17">
        <v>14</v>
      </c>
    </row>
    <row r="67" spans="1:61" ht="19.899999999999999" customHeight="1">
      <c r="T67" s="964"/>
      <c r="U67" s="964"/>
      <c r="V67" s="964"/>
      <c r="W67" s="964"/>
      <c r="X67" s="964"/>
      <c r="Y67" s="964"/>
      <c r="Z67" s="964"/>
      <c r="AA67" s="964"/>
      <c r="AB67" s="964"/>
      <c r="AC67" s="964"/>
      <c r="AD67" s="964"/>
      <c r="AE67" s="964"/>
      <c r="AF67" s="964"/>
      <c r="AG67" s="964"/>
      <c r="AH67" s="964"/>
      <c r="AI67" s="964"/>
      <c r="AJ67" s="964"/>
      <c r="AK67" s="964"/>
      <c r="AL67" s="964"/>
      <c r="AM67" s="964"/>
      <c r="AN67" s="964"/>
      <c r="AO67" s="964"/>
      <c r="AP67" s="964"/>
      <c r="AQ67" s="964"/>
      <c r="AR67" s="964"/>
      <c r="AS67" s="964"/>
      <c r="AT67" s="964"/>
      <c r="AU67" s="964"/>
      <c r="AV67" s="964"/>
      <c r="AW67" s="964"/>
      <c r="AX67" s="964"/>
      <c r="AY67" s="964"/>
      <c r="AZ67" s="964"/>
      <c r="BA67" s="964"/>
      <c r="BB67" s="964"/>
      <c r="BC67" s="964"/>
      <c r="BI67" s="17">
        <v>19</v>
      </c>
    </row>
    <row r="68" spans="1:61" ht="14.65" customHeight="1">
      <c r="BI68" s="17">
        <v>14</v>
      </c>
    </row>
    <row r="69" spans="1:61" ht="14.25" hidden="1" customHeight="1">
      <c r="A69" s="37" t="s">
        <v>82</v>
      </c>
      <c r="B69" s="37">
        <v>0</v>
      </c>
      <c r="C69" s="37">
        <v>0</v>
      </c>
      <c r="D69" s="37">
        <v>0</v>
      </c>
      <c r="E69" s="37">
        <v>0</v>
      </c>
      <c r="F69" s="37">
        <v>0</v>
      </c>
      <c r="G69" s="37">
        <v>0</v>
      </c>
      <c r="H69" s="37">
        <v>0</v>
      </c>
      <c r="I69" s="37">
        <v>0</v>
      </c>
      <c r="J69" s="37">
        <v>0</v>
      </c>
      <c r="K69" s="37">
        <v>0</v>
      </c>
      <c r="L69" s="240">
        <v>0</v>
      </c>
      <c r="M69" s="41">
        <v>0</v>
      </c>
      <c r="N69" s="41">
        <v>0</v>
      </c>
      <c r="O69" s="41">
        <v>0</v>
      </c>
      <c r="P69" s="41">
        <v>0</v>
      </c>
      <c r="Q69" s="424">
        <v>0</v>
      </c>
      <c r="R69" s="357">
        <v>3</v>
      </c>
      <c r="S69" s="33">
        <v>12</v>
      </c>
      <c r="T69" s="17">
        <v>31</v>
      </c>
      <c r="U69" s="17">
        <v>0</v>
      </c>
      <c r="V69" s="17">
        <v>0</v>
      </c>
      <c r="W69" s="17">
        <v>0</v>
      </c>
      <c r="X69" s="17">
        <v>0</v>
      </c>
      <c r="Y69" s="17">
        <v>0</v>
      </c>
      <c r="Z69" s="17">
        <v>0</v>
      </c>
      <c r="AA69" s="17">
        <v>0</v>
      </c>
      <c r="AB69" s="17">
        <v>0</v>
      </c>
      <c r="AC69" s="17">
        <v>0</v>
      </c>
      <c r="AD69" s="17">
        <v>3</v>
      </c>
      <c r="AE69" s="17">
        <v>3</v>
      </c>
      <c r="AF69" s="17">
        <v>3</v>
      </c>
      <c r="AG69" s="17">
        <v>24</v>
      </c>
      <c r="AH69" s="17">
        <v>3</v>
      </c>
      <c r="AI69" s="17">
        <v>3</v>
      </c>
      <c r="AJ69" s="17">
        <v>3</v>
      </c>
      <c r="AK69" s="17">
        <v>24</v>
      </c>
      <c r="AL69" s="17">
        <v>3</v>
      </c>
      <c r="AM69" s="17">
        <v>3</v>
      </c>
      <c r="AN69" s="17">
        <v>3</v>
      </c>
      <c r="AO69" s="17">
        <v>18</v>
      </c>
      <c r="AP69" s="17">
        <v>3</v>
      </c>
      <c r="AQ69" s="17">
        <v>3</v>
      </c>
      <c r="AR69" s="17">
        <v>3</v>
      </c>
      <c r="AS69" s="17">
        <v>18</v>
      </c>
      <c r="AT69" s="17">
        <v>21</v>
      </c>
      <c r="AU69" s="17">
        <v>21</v>
      </c>
      <c r="AV69" s="17">
        <v>21</v>
      </c>
      <c r="AW69" s="17">
        <v>21</v>
      </c>
      <c r="AX69" s="17">
        <v>11</v>
      </c>
      <c r="AY69" s="17">
        <v>3</v>
      </c>
      <c r="AZ69" s="17">
        <v>11</v>
      </c>
      <c r="BA69" s="17">
        <v>0</v>
      </c>
      <c r="BB69" s="17">
        <v>4</v>
      </c>
      <c r="BC69" s="17">
        <v>115</v>
      </c>
      <c r="BD69" s="75">
        <v>10</v>
      </c>
      <c r="BE69" s="75">
        <v>10</v>
      </c>
      <c r="BF69" s="75">
        <v>10</v>
      </c>
      <c r="BG69" s="75">
        <v>10</v>
      </c>
      <c r="BH69" s="75">
        <v>10</v>
      </c>
      <c r="BI69" s="17">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FF733-358A-672F-FB9E-1A3DF629B03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hidden="1" customWidth="1"/>
    <col min="2" max="2" width="16.85546875" hidden="1" customWidth="1"/>
    <col min="3" max="3" width="5.5703125" hidden="1" customWidth="1"/>
    <col min="4" max="4" width="3" customWidth="1"/>
    <col min="5" max="5" width="7" customWidth="1"/>
    <col min="6" max="6" width="54" customWidth="1"/>
    <col min="7" max="7" width="10" customWidth="1"/>
    <col min="8" max="8" width="40.7109375" hidden="1" customWidth="1"/>
    <col min="9" max="9" width="40.7109375"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9.140625" hidden="1"/>
  </cols>
  <sheetData>
    <row r="1" spans="2:32" ht="22.5" hidden="1" customHeight="1">
      <c r="AF1" s="17" t="s">
        <v>14</v>
      </c>
    </row>
    <row r="2" spans="2:32" ht="23.25" hidden="1" customHeight="1">
      <c r="B2" s="964"/>
      <c r="C2" s="411" t="s">
        <v>546</v>
      </c>
      <c r="E2" s="438">
        <f>B2</f>
        <v>0</v>
      </c>
      <c r="F2" s="439"/>
      <c r="G2" s="88" t="s">
        <v>547</v>
      </c>
      <c r="H2" s="88" t="s">
        <v>547</v>
      </c>
      <c r="I2" s="88" t="s">
        <v>547</v>
      </c>
      <c r="J2" s="296" t="s">
        <v>548</v>
      </c>
      <c r="AF2" s="17">
        <v>0</v>
      </c>
    </row>
    <row r="3" spans="2:32" ht="0.75" hidden="1" customHeight="1">
      <c r="B3" s="964"/>
      <c r="E3" s="440"/>
      <c r="F3" s="441" t="s">
        <v>549</v>
      </c>
      <c r="G3" s="89"/>
      <c r="H3" s="89">
        <f>H4*H5+H7</f>
        <v>0</v>
      </c>
      <c r="I3" s="89">
        <f>I4*I5+I6</f>
        <v>0</v>
      </c>
      <c r="J3" s="192"/>
      <c r="AF3" s="75">
        <v>0</v>
      </c>
    </row>
    <row r="4" spans="2:32" ht="23.25" hidden="1" customHeight="1">
      <c r="B4" s="964"/>
      <c r="E4" s="438" t="str">
        <f>B2&amp;".1"</f>
        <v>.1</v>
      </c>
      <c r="F4" s="442" t="s">
        <v>550</v>
      </c>
      <c r="G4" s="443"/>
      <c r="H4" s="312"/>
      <c r="I4" s="312"/>
      <c r="J4" s="296" t="s">
        <v>551</v>
      </c>
      <c r="AF4" s="17">
        <v>0</v>
      </c>
    </row>
    <row r="5" spans="2:32" ht="18.75" hidden="1" customHeight="1">
      <c r="B5" s="964"/>
      <c r="E5" s="438" t="str">
        <f>B2&amp;".2"</f>
        <v>.2</v>
      </c>
      <c r="F5" s="442" t="s">
        <v>552</v>
      </c>
      <c r="G5" s="88" t="s">
        <v>553</v>
      </c>
      <c r="H5" s="312"/>
      <c r="I5" s="312"/>
      <c r="J5" s="296"/>
      <c r="AF5" s="17">
        <v>0</v>
      </c>
    </row>
    <row r="6" spans="2:32" ht="18.75" hidden="1" customHeight="1">
      <c r="B6" s="964"/>
      <c r="E6" s="438" t="str">
        <f>B2&amp;".3"</f>
        <v>.3</v>
      </c>
      <c r="F6" s="442" t="s">
        <v>554</v>
      </c>
      <c r="G6" s="88" t="s">
        <v>553</v>
      </c>
      <c r="H6" s="312"/>
      <c r="I6" s="312"/>
      <c r="J6" s="296"/>
      <c r="AF6" s="17">
        <v>0</v>
      </c>
    </row>
    <row r="7" spans="2:32" ht="18.75" hidden="1" customHeight="1">
      <c r="B7" s="964"/>
      <c r="E7" s="438" t="str">
        <f>B2&amp;".4"</f>
        <v>.4</v>
      </c>
      <c r="F7" s="442" t="s">
        <v>555</v>
      </c>
      <c r="G7" s="88" t="s">
        <v>547</v>
      </c>
      <c r="H7" s="444"/>
      <c r="I7" s="444"/>
      <c r="J7" s="296"/>
      <c r="AF7" s="17">
        <v>0</v>
      </c>
    </row>
    <row r="8" spans="2:32" ht="11.25" hidden="1" customHeight="1">
      <c r="H8" s="37">
        <v>4</v>
      </c>
      <c r="I8" s="37">
        <v>4</v>
      </c>
      <c r="AF8" s="37">
        <v>0</v>
      </c>
    </row>
    <row r="9" spans="2:32" ht="22.5" hidden="1" customHeight="1">
      <c r="E9" s="88"/>
      <c r="F9" s="90"/>
      <c r="G9" s="88" t="s">
        <v>553</v>
      </c>
      <c r="H9" s="312"/>
      <c r="I9" s="312"/>
      <c r="J9" s="445" t="s">
        <v>556</v>
      </c>
      <c r="AF9" s="37">
        <v>0</v>
      </c>
    </row>
    <row r="10" spans="2:32" ht="11.25" hidden="1" customHeight="1">
      <c r="AF10" s="17">
        <v>0</v>
      </c>
    </row>
    <row r="11" spans="2:32" ht="18.75" hidden="1" customHeight="1">
      <c r="E11" s="438"/>
      <c r="F11" s="90"/>
      <c r="G11" s="88" t="s">
        <v>557</v>
      </c>
      <c r="H11" s="312"/>
      <c r="I11" s="312"/>
      <c r="J11" s="296" t="s">
        <v>558</v>
      </c>
      <c r="AF11" s="17">
        <v>0</v>
      </c>
    </row>
    <row r="12" spans="2:32" ht="11.25" hidden="1" customHeight="1">
      <c r="AF12" s="17">
        <v>0</v>
      </c>
    </row>
    <row r="13" spans="2:32" ht="22.5" hidden="1" customHeight="1">
      <c r="E13" s="438"/>
      <c r="F13" s="90"/>
      <c r="G13" s="21" t="s">
        <v>559</v>
      </c>
      <c r="H13" s="446"/>
      <c r="I13" s="446"/>
      <c r="J13" s="447" t="s">
        <v>560</v>
      </c>
      <c r="AF13" s="17">
        <v>0</v>
      </c>
    </row>
    <row r="14" spans="2:32" ht="11.25" hidden="1" customHeight="1">
      <c r="AF14" s="17">
        <v>0</v>
      </c>
    </row>
    <row r="15" spans="2:32" ht="22.5" hidden="1" customHeight="1">
      <c r="E15" s="438"/>
      <c r="F15" s="90"/>
      <c r="G15" s="88" t="s">
        <v>561</v>
      </c>
      <c r="H15" s="446"/>
      <c r="I15" s="446"/>
      <c r="J15" s="296" t="s">
        <v>562</v>
      </c>
      <c r="AF15" s="17">
        <v>0</v>
      </c>
    </row>
    <row r="16" spans="2:32" ht="11.25" hidden="1" customHeight="1">
      <c r="AF16" s="17">
        <v>0</v>
      </c>
    </row>
    <row r="17" spans="5:32" ht="22.5" hidden="1" customHeight="1">
      <c r="E17" s="438"/>
      <c r="F17" s="90"/>
      <c r="G17" s="88" t="s">
        <v>563</v>
      </c>
      <c r="H17" s="446"/>
      <c r="I17" s="446"/>
      <c r="J17" s="296" t="s">
        <v>564</v>
      </c>
      <c r="AF17" s="17">
        <v>0</v>
      </c>
    </row>
    <row r="18" spans="5:32" ht="11.25" hidden="1" customHeight="1">
      <c r="AF18" s="17">
        <v>0</v>
      </c>
    </row>
    <row r="19" spans="5:32" ht="11.25" hidden="1" customHeight="1">
      <c r="J19" s="15">
        <v>4</v>
      </c>
      <c r="AF19" s="15">
        <v>0</v>
      </c>
    </row>
    <row r="20" spans="5:32" ht="11.45" customHeight="1">
      <c r="AF20" s="17">
        <v>11</v>
      </c>
    </row>
    <row r="21" spans="5:32" ht="25.15" customHeight="1">
      <c r="E21" s="109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093"/>
      <c r="G21" s="1093"/>
      <c r="H21" s="1093"/>
      <c r="I21" s="1093"/>
      <c r="AF21" s="17">
        <v>24</v>
      </c>
    </row>
    <row r="22" spans="5:32" ht="25.15" customHeight="1">
      <c r="E22" s="1066" t="str">
        <f>IF(org=0,"Не определено",org)</f>
        <v>ООО "ТВС"</v>
      </c>
      <c r="F22" s="1066"/>
      <c r="G22" s="1066"/>
      <c r="H22" s="1066"/>
      <c r="I22" s="1066"/>
      <c r="AF22" s="17">
        <v>24</v>
      </c>
    </row>
    <row r="23" spans="5:32" ht="11.45" customHeight="1">
      <c r="AF23" s="17">
        <v>11</v>
      </c>
    </row>
    <row r="24" spans="5:32" ht="1.1499999999999999" customHeight="1">
      <c r="H24" s="448"/>
      <c r="I24" s="448" t="s">
        <v>119</v>
      </c>
      <c r="AF24" s="75">
        <v>1</v>
      </c>
    </row>
    <row r="25" spans="5:32" ht="11.45" customHeight="1">
      <c r="E25" s="449"/>
      <c r="F25" s="1197" t="s">
        <v>106</v>
      </c>
      <c r="G25" s="1198"/>
      <c r="H25" s="452" t="str">
        <f>IF(H24="","",INDEX(DIFFERENTIATION_UNMERGE_VD,MATCH(H24,DIFFERENTIATION_ID_DIFF,0)))</f>
        <v/>
      </c>
      <c r="I25" s="452" t="str">
        <f>IF(I24="","",INDEX(DIFFERENTIATION_UNMERGE_VD,MATCH(I24,DIFFERENTIATION_ID_DIFF,0)))</f>
        <v>Подключение (технологическое присоединение) к системе теплоснабжения</v>
      </c>
      <c r="J25" s="995"/>
      <c r="AF25" s="17">
        <v>11</v>
      </c>
    </row>
    <row r="26" spans="5:32" ht="11.45" customHeight="1">
      <c r="E26" s="449"/>
      <c r="F26" s="1197" t="s">
        <v>565</v>
      </c>
      <c r="G26" s="1198"/>
      <c r="H26" s="452" t="str">
        <f>IF(H24="","",INDEX(DIFFERENTIATION_UNMERGE_AREA,MATCH(H24,DIFFERENTIATION_ID_DIFF,0)))</f>
        <v/>
      </c>
      <c r="I26" s="452" t="str">
        <f>IF(I24="","",INDEX(DIFFERENTIATION_UNMERGE_AREA,MATCH(I24,DIFFERENTIATION_ID_DIFF,0)))</f>
        <v>Территория 1</v>
      </c>
      <c r="J26" s="995"/>
      <c r="AF26" s="17">
        <v>11</v>
      </c>
    </row>
    <row r="27" spans="5:32" ht="11.45" customHeight="1">
      <c r="E27" s="449"/>
      <c r="F27" s="1197" t="s">
        <v>566</v>
      </c>
      <c r="G27" s="1198"/>
      <c r="H27" s="452" t="str">
        <f>IF(H24="","",INDEX(DIFFERENTIATION_UNMERGE_SYSTEM,MATCH(H24,DIFFERENTIATION_ID_DIFF,0)))</f>
        <v/>
      </c>
      <c r="I27" s="452" t="str">
        <f>IF(I24="","",INDEX(DIFFERENTIATION_UNMERGE_SYSTEM,MATCH(I24,DIFFERENTIATION_ID_DIFF,0)))</f>
        <v>в зоне поставки котельной, расположенной по адресу: г. Москва, поселение Московский, Передельцевский проезд, стр.2</v>
      </c>
      <c r="J27" s="995"/>
      <c r="AF27" s="17">
        <v>11</v>
      </c>
    </row>
    <row r="28" spans="5:32" ht="11.45" customHeight="1">
      <c r="E28" s="1199" t="s">
        <v>301</v>
      </c>
      <c r="F28" s="1200"/>
      <c r="G28" s="1200"/>
      <c r="H28" s="450"/>
      <c r="I28" s="450"/>
      <c r="J28" s="995"/>
      <c r="AF28" s="17">
        <v>11</v>
      </c>
    </row>
    <row r="29" spans="5:32" ht="24" customHeight="1">
      <c r="E29" s="88" t="s">
        <v>88</v>
      </c>
      <c r="F29" s="88" t="s">
        <v>303</v>
      </c>
      <c r="G29" s="88" t="s">
        <v>567</v>
      </c>
      <c r="H29" s="88" t="s">
        <v>304</v>
      </c>
      <c r="I29" s="88" t="s">
        <v>304</v>
      </c>
      <c r="J29" s="995"/>
      <c r="AF29" s="17">
        <v>23</v>
      </c>
    </row>
    <row r="30" spans="5:32" ht="19.899999999999999" customHeight="1">
      <c r="E30" s="438">
        <f>FHD_NUM_P_1</f>
        <v>1</v>
      </c>
      <c r="F30" s="165" t="str">
        <f>FHD_P_1</f>
        <v>Выручка от регулируемого вида деятельности с распределением по видам деятельности</v>
      </c>
      <c r="G30" s="88" t="s">
        <v>553</v>
      </c>
      <c r="H30" s="453"/>
      <c r="I30" s="453"/>
      <c r="J30" s="296" t="str">
        <f>FHD_NOTE_P_1</f>
        <v>Указывается выручка от регулируемого вида деятельности с распределением по видам деятельности.</v>
      </c>
      <c r="AF30" s="17">
        <v>19</v>
      </c>
    </row>
    <row r="31" spans="5:32" ht="11.45" customHeight="1">
      <c r="E31" s="438">
        <f>FHD_NUM_P_2</f>
        <v>2</v>
      </c>
      <c r="F31" s="165" t="str">
        <f>FHD_P_2</f>
        <v>Себестоимость производимых товаров (оказываемых услуг) по регулируемому виду деятельности, включая:</v>
      </c>
      <c r="G31" s="88" t="s">
        <v>553</v>
      </c>
      <c r="H31" s="454">
        <f>SUMIF($K33:$K71,$K31,H33:H71)</f>
        <v>0</v>
      </c>
      <c r="I31" s="454">
        <f>SUMIF($K33:$K71,$K31,I33:I71)</f>
        <v>0</v>
      </c>
      <c r="J31" s="296" t="str">
        <f>FHD_NOTE_P_2</f>
        <v>Указывается суммарная себестоимость производимых товаров.</v>
      </c>
      <c r="K31" s="75" t="s">
        <v>568</v>
      </c>
      <c r="AF31" s="17">
        <v>11</v>
      </c>
    </row>
    <row r="32" spans="5:32" ht="11.45" customHeight="1">
      <c r="E32" s="438" t="str">
        <f>FHD_NUM_P_3</f>
        <v>2.1</v>
      </c>
      <c r="F32" s="421" t="str">
        <f>FHD_P_3</f>
        <v>Расходы на приобретаемую тепловую энергию (мощность), теплоноситель</v>
      </c>
      <c r="G32" s="88" t="s">
        <v>553</v>
      </c>
      <c r="H32" s="453"/>
      <c r="I32" s="453"/>
      <c r="J32" s="296" t="str">
        <f>FHD_NOTE_P_3</f>
        <v/>
      </c>
      <c r="K32" s="75" t="str">
        <f t="shared" ref="K32:K70" si="0">IF((LEN(E32)-LEN(SUBSTITUTE(E32,".","")))/LEN(".")=1,"p","")</f>
        <v>p</v>
      </c>
      <c r="AF32" s="17">
        <v>11</v>
      </c>
    </row>
    <row r="33" spans="1:32" ht="11.25" customHeight="1">
      <c r="A33" s="1195" t="s">
        <v>569</v>
      </c>
      <c r="E33" s="438" t="str">
        <f>FHD_NUM_P_4</f>
        <v>2.2</v>
      </c>
      <c r="F33" s="42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88" t="s">
        <v>553</v>
      </c>
      <c r="H33" s="454">
        <f>SUMIF($F34:$F40,$F3,H34:H40)</f>
        <v>0</v>
      </c>
      <c r="I33" s="454">
        <f>SUMIF($F34:$F40,$F3,I34:I40)</f>
        <v>0</v>
      </c>
      <c r="J33" s="296" t="str">
        <f>FHD_NOTE_P_4</f>
        <v>Указываются суммарные расходы на приобретение топлива всех видов.</v>
      </c>
      <c r="K33" s="75" t="str">
        <f t="shared" si="0"/>
        <v>p</v>
      </c>
      <c r="AF33" s="17">
        <v>0</v>
      </c>
    </row>
    <row r="34" spans="1:32" ht="0.75" customHeight="1">
      <c r="A34" s="1195"/>
      <c r="B34" s="1196" t="str">
        <f>E33&amp;".0"</f>
        <v>2.2.0</v>
      </c>
      <c r="E34" s="455"/>
      <c r="F34" s="456"/>
      <c r="G34" s="457"/>
      <c r="H34" s="256"/>
      <c r="I34" s="256"/>
      <c r="J34" s="458"/>
      <c r="K34" s="75" t="str">
        <f t="shared" si="0"/>
        <v/>
      </c>
      <c r="AF34" s="258">
        <v>0</v>
      </c>
    </row>
    <row r="35" spans="1:32" ht="0.75" customHeight="1">
      <c r="A35" s="1195"/>
      <c r="B35" s="964"/>
      <c r="E35" s="459"/>
      <c r="F35" s="460"/>
      <c r="G35" s="457"/>
      <c r="H35" s="461"/>
      <c r="I35" s="461"/>
      <c r="J35" s="458"/>
      <c r="K35" s="75" t="str">
        <f t="shared" si="0"/>
        <v/>
      </c>
      <c r="AF35" s="258">
        <v>0</v>
      </c>
    </row>
    <row r="36" spans="1:32" ht="0.75" customHeight="1">
      <c r="A36" s="1195"/>
      <c r="B36" s="964"/>
      <c r="E36" s="459"/>
      <c r="F36" s="460"/>
      <c r="G36" s="457"/>
      <c r="H36" s="461"/>
      <c r="I36" s="461"/>
      <c r="J36" s="458"/>
      <c r="K36" s="75" t="str">
        <f t="shared" si="0"/>
        <v/>
      </c>
      <c r="AF36" s="258">
        <v>0</v>
      </c>
    </row>
    <row r="37" spans="1:32" ht="0.75" customHeight="1">
      <c r="A37" s="1195"/>
      <c r="B37" s="964"/>
      <c r="E37" s="459"/>
      <c r="F37" s="460"/>
      <c r="G37" s="457"/>
      <c r="H37" s="461"/>
      <c r="I37" s="461"/>
      <c r="J37" s="458"/>
      <c r="K37" s="75" t="str">
        <f t="shared" si="0"/>
        <v/>
      </c>
      <c r="AF37" s="258">
        <v>0</v>
      </c>
    </row>
    <row r="38" spans="1:32" ht="0.75" customHeight="1">
      <c r="A38" s="1195"/>
      <c r="B38" s="964"/>
      <c r="E38" s="459"/>
      <c r="F38" s="460"/>
      <c r="G38" s="457"/>
      <c r="H38" s="461"/>
      <c r="I38" s="461"/>
      <c r="J38" s="458"/>
      <c r="K38" s="75" t="str">
        <f t="shared" si="0"/>
        <v/>
      </c>
      <c r="AF38" s="258">
        <v>0</v>
      </c>
    </row>
    <row r="39" spans="1:32" ht="0.75" customHeight="1">
      <c r="A39" s="1195"/>
      <c r="B39" s="964"/>
      <c r="E39" s="459"/>
      <c r="F39" s="460"/>
      <c r="G39" s="457"/>
      <c r="H39" s="256"/>
      <c r="I39" s="256"/>
      <c r="J39" s="458"/>
      <c r="K39" s="75" t="str">
        <f t="shared" si="0"/>
        <v/>
      </c>
      <c r="AF39" s="258">
        <v>0</v>
      </c>
    </row>
    <row r="40" spans="1:32" ht="15" customHeight="1">
      <c r="A40" s="1195"/>
      <c r="E40" s="462"/>
      <c r="F40" s="132" t="s">
        <v>570</v>
      </c>
      <c r="G40" s="463"/>
      <c r="H40" s="464"/>
      <c r="I40" s="464"/>
      <c r="J40" s="341"/>
      <c r="K40" s="75" t="str">
        <f t="shared" si="0"/>
        <v/>
      </c>
      <c r="AF40" s="37">
        <v>0</v>
      </c>
    </row>
    <row r="41" spans="1:32" ht="11.25" hidden="1" customHeight="1">
      <c r="A41" s="1195" t="s">
        <v>571</v>
      </c>
      <c r="E41" s="438" t="str">
        <f>FHD_NUM_P_5</f>
        <v/>
      </c>
      <c r="F41" s="421" t="str">
        <f>FHD_P_5</f>
        <v/>
      </c>
      <c r="G41" s="88" t="s">
        <v>553</v>
      </c>
      <c r="H41" s="453"/>
      <c r="I41" s="453"/>
      <c r="J41" s="296" t="str">
        <f>FHD_NOTE_P_5</f>
        <v/>
      </c>
      <c r="K41" s="75" t="str">
        <f t="shared" si="0"/>
        <v/>
      </c>
      <c r="AF41" s="17">
        <v>0</v>
      </c>
    </row>
    <row r="42" spans="1:32" ht="11.25" hidden="1" customHeight="1">
      <c r="A42" s="1195"/>
      <c r="E42" s="438" t="str">
        <f>FHD_NUM_P_6</f>
        <v/>
      </c>
      <c r="F42" s="421" t="str">
        <f>FHD_P_6</f>
        <v/>
      </c>
      <c r="G42" s="88" t="s">
        <v>553</v>
      </c>
      <c r="H42" s="453"/>
      <c r="I42" s="453"/>
      <c r="J42" s="296" t="str">
        <f>FHD_NOTE_P_6</f>
        <v/>
      </c>
      <c r="K42" s="75" t="str">
        <f t="shared" si="0"/>
        <v/>
      </c>
      <c r="AF42" s="17">
        <v>0</v>
      </c>
    </row>
    <row r="43" spans="1:32" ht="11.25" hidden="1" customHeight="1">
      <c r="A43" s="1195"/>
      <c r="E43" s="438" t="str">
        <f>FHD_NUM_P_7</f>
        <v/>
      </c>
      <c r="F43" s="421" t="str">
        <f>FHD_P_7</f>
        <v/>
      </c>
      <c r="G43" s="88" t="s">
        <v>553</v>
      </c>
      <c r="H43" s="453"/>
      <c r="I43" s="453"/>
      <c r="J43" s="296" t="str">
        <f>FHD_NOTE_P_7</f>
        <v/>
      </c>
      <c r="K43" s="75" t="str">
        <f t="shared" si="0"/>
        <v/>
      </c>
      <c r="AF43" s="17">
        <v>0</v>
      </c>
    </row>
    <row r="44" spans="1:32" ht="11.45" customHeight="1">
      <c r="E44" s="438" t="str">
        <f>FHD_NUM_P_8</f>
        <v>2.3</v>
      </c>
      <c r="F44" s="421" t="str">
        <f>FHD_P_8</f>
        <v>Расходы на приобретаемую электрическую энергию (мощность), используемую в технологическом процессе</v>
      </c>
      <c r="G44" s="88" t="s">
        <v>553</v>
      </c>
      <c r="H44" s="453"/>
      <c r="I44" s="453"/>
      <c r="J44" s="296" t="str">
        <f>FHD_NOTE_P_8</f>
        <v/>
      </c>
      <c r="K44" s="75" t="str">
        <f t="shared" si="0"/>
        <v>p</v>
      </c>
      <c r="AF44" s="17">
        <v>11</v>
      </c>
    </row>
    <row r="45" spans="1:32" ht="11.45" customHeight="1">
      <c r="E45" s="438" t="str">
        <f>FHD_NUM_P_9</f>
        <v>2.3.1</v>
      </c>
      <c r="F45" s="465" t="str">
        <f>FHD_P_9</f>
        <v>Средневзвешенная стоимость 1 кВт.ч (с учетом мощности)</v>
      </c>
      <c r="G45" s="88" t="s">
        <v>572</v>
      </c>
      <c r="H45" s="453"/>
      <c r="I45" s="453"/>
      <c r="J45" s="296" t="str">
        <f>FHD_NOTE_P_9</f>
        <v/>
      </c>
      <c r="K45" s="75" t="str">
        <f t="shared" si="0"/>
        <v/>
      </c>
      <c r="AF45" s="17">
        <v>11</v>
      </c>
    </row>
    <row r="46" spans="1:32" ht="11.45" customHeight="1">
      <c r="E46" s="438" t="str">
        <f>FHD_NUM_P_10</f>
        <v>2.3.2</v>
      </c>
      <c r="F46" s="465" t="str">
        <f>FHD_P_10</f>
        <v>Объём приобретения электрической энергии</v>
      </c>
      <c r="G46" s="88" t="s">
        <v>573</v>
      </c>
      <c r="H46" s="453"/>
      <c r="I46" s="453"/>
      <c r="J46" s="296" t="str">
        <f>FHD_NOTE_P_10</f>
        <v/>
      </c>
      <c r="K46" s="75" t="str">
        <f t="shared" si="0"/>
        <v/>
      </c>
      <c r="AF46" s="37">
        <v>11</v>
      </c>
    </row>
    <row r="47" spans="1:32" ht="11.25" customHeight="1">
      <c r="A47" s="466" t="s">
        <v>574</v>
      </c>
      <c r="E47" s="438" t="str">
        <f>FHD_NUM_P_11</f>
        <v>2.4</v>
      </c>
      <c r="F47" s="421" t="str">
        <f>FHD_P_11</f>
        <v>Расходы на приобретение холодной воды, используемой в технологическом процессе</v>
      </c>
      <c r="G47" s="88" t="s">
        <v>553</v>
      </c>
      <c r="H47" s="453"/>
      <c r="I47" s="453"/>
      <c r="J47" s="296" t="str">
        <f>FHD_NOTE_P_11</f>
        <v/>
      </c>
      <c r="K47" s="75" t="str">
        <f t="shared" si="0"/>
        <v>p</v>
      </c>
      <c r="AF47" s="37">
        <v>0</v>
      </c>
    </row>
    <row r="48" spans="1:32" ht="18.75" customHeight="1">
      <c r="A48" s="466" t="s">
        <v>575</v>
      </c>
      <c r="E48" s="438" t="str">
        <f>FHD_NUM_P_12</f>
        <v>2.5</v>
      </c>
      <c r="F48" s="421" t="str">
        <f>FHD_P_12</f>
        <v>Расходы на  химические реагенты, используемые в технологическом процессе</v>
      </c>
      <c r="G48" s="88" t="s">
        <v>553</v>
      </c>
      <c r="H48" s="467"/>
      <c r="I48" s="467"/>
      <c r="J48" s="296" t="str">
        <f>FHD_NOTE_P_12</f>
        <v/>
      </c>
      <c r="K48" s="75" t="str">
        <f t="shared" si="0"/>
        <v>p</v>
      </c>
      <c r="AF48" s="37">
        <v>18</v>
      </c>
    </row>
    <row r="49" spans="5:32" ht="11.45" customHeight="1">
      <c r="E49" s="438" t="str">
        <f>FHD_NUM_P_13</f>
        <v>2.6</v>
      </c>
      <c r="F49" s="42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88" t="s">
        <v>553</v>
      </c>
      <c r="H49" s="453"/>
      <c r="I49" s="453"/>
      <c r="J49" s="296" t="str">
        <f>FHD_NOTE_P_13</f>
        <v/>
      </c>
      <c r="K49" s="75" t="str">
        <f t="shared" si="0"/>
        <v>p</v>
      </c>
      <c r="AF49" s="468">
        <v>11</v>
      </c>
    </row>
    <row r="50" spans="5:32" ht="11.45" customHeight="1">
      <c r="E50" s="438" t="str">
        <f>FHD_NUM_P_14</f>
        <v>2.6.1</v>
      </c>
      <c r="F50" s="465" t="str">
        <f>FHD_P_14</f>
        <v>Расходы на оплату труда основного производственного персонала</v>
      </c>
      <c r="G50" s="88" t="s">
        <v>553</v>
      </c>
      <c r="H50" s="453"/>
      <c r="I50" s="453"/>
      <c r="J50" s="296" t="str">
        <f>FHD_NOTE_P_14</f>
        <v/>
      </c>
      <c r="K50" s="75" t="str">
        <f t="shared" si="0"/>
        <v/>
      </c>
      <c r="AF50" s="468">
        <v>11</v>
      </c>
    </row>
    <row r="51" spans="5:32" ht="11.45" customHeight="1">
      <c r="E51" s="438" t="str">
        <f>FHD_NUM_P_15</f>
        <v>2.6.2</v>
      </c>
      <c r="F51" s="465" t="str">
        <f>FHD_P_15</f>
        <v>Страховые взносы на обязательное социальное страхование, выплачиваемые из фонда оплаты труда основного производственного персонала</v>
      </c>
      <c r="G51" s="88" t="s">
        <v>553</v>
      </c>
      <c r="H51" s="453"/>
      <c r="I51" s="453"/>
      <c r="J51" s="296" t="str">
        <f>FHD_NOTE_P_15</f>
        <v/>
      </c>
      <c r="K51" s="75" t="str">
        <f t="shared" si="0"/>
        <v/>
      </c>
      <c r="AF51" s="468">
        <v>11</v>
      </c>
    </row>
    <row r="52" spans="5:32" ht="11.45" customHeight="1">
      <c r="E52" s="438" t="str">
        <f>FHD_NUM_P_16</f>
        <v>2.7</v>
      </c>
      <c r="F52" s="42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88" t="s">
        <v>553</v>
      </c>
      <c r="H52" s="453"/>
      <c r="I52" s="453"/>
      <c r="J52" s="296" t="str">
        <f>FHD_NOTE_P_16</f>
        <v/>
      </c>
      <c r="K52" s="75" t="str">
        <f t="shared" si="0"/>
        <v>p</v>
      </c>
      <c r="AF52" s="37">
        <v>11</v>
      </c>
    </row>
    <row r="53" spans="5:32" ht="11.45" customHeight="1">
      <c r="E53" s="438" t="str">
        <f>FHD_NUM_P_17</f>
        <v>2.7.1</v>
      </c>
      <c r="F53" s="465" t="str">
        <f>FHD_P_17</f>
        <v>Расходы на оплату труда административно-управленческого персонала</v>
      </c>
      <c r="G53" s="88" t="s">
        <v>553</v>
      </c>
      <c r="H53" s="453"/>
      <c r="I53" s="453"/>
      <c r="J53" s="296" t="str">
        <f>FHD_NOTE_P_17</f>
        <v/>
      </c>
      <c r="K53" s="75" t="str">
        <f t="shared" si="0"/>
        <v/>
      </c>
      <c r="AF53" s="37">
        <v>11</v>
      </c>
    </row>
    <row r="54" spans="5:32" ht="11.45" customHeight="1">
      <c r="E54" s="438" t="str">
        <f>FHD_NUM_P_18</f>
        <v>2.7.2</v>
      </c>
      <c r="F54" s="4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88" t="s">
        <v>553</v>
      </c>
      <c r="H54" s="453"/>
      <c r="I54" s="453"/>
      <c r="J54" s="296" t="str">
        <f>FHD_NOTE_P_18</f>
        <v/>
      </c>
      <c r="K54" s="75" t="str">
        <f t="shared" si="0"/>
        <v/>
      </c>
      <c r="AF54" s="37">
        <v>11</v>
      </c>
    </row>
    <row r="55" spans="5:32" ht="11.45" customHeight="1">
      <c r="E55" s="438" t="str">
        <f>FHD_NUM_P_19</f>
        <v>2.8</v>
      </c>
      <c r="F55" s="421" t="str">
        <f>FHD_P_19</f>
        <v>Расходы на амортизацию основных средств и нематериальных активов</v>
      </c>
      <c r="G55" s="88" t="s">
        <v>553</v>
      </c>
      <c r="H55" s="453"/>
      <c r="I55" s="453"/>
      <c r="J55" s="296" t="str">
        <f>FHD_NOTE_P_19</f>
        <v/>
      </c>
      <c r="K55" s="75" t="str">
        <f t="shared" si="0"/>
        <v>p</v>
      </c>
      <c r="AF55" s="37">
        <v>11</v>
      </c>
    </row>
    <row r="56" spans="5:32" ht="11.45" customHeight="1">
      <c r="E56" s="438" t="str">
        <f>FHD_NUM_P_20</f>
        <v>2.8.1</v>
      </c>
      <c r="F56" s="465" t="str">
        <f>FHD_P_20</f>
        <v>Расходы на амортизацию основных средств</v>
      </c>
      <c r="G56" s="88" t="s">
        <v>553</v>
      </c>
      <c r="H56" s="453"/>
      <c r="I56" s="453"/>
      <c r="J56" s="296" t="str">
        <f>FHD_NOTE_P_20</f>
        <v/>
      </c>
      <c r="K56" s="75" t="str">
        <f t="shared" si="0"/>
        <v/>
      </c>
      <c r="AF56" s="37">
        <v>11</v>
      </c>
    </row>
    <row r="57" spans="5:32" ht="11.45" customHeight="1">
      <c r="E57" s="438" t="str">
        <f>FHD_NUM_P_21</f>
        <v>2.8.2</v>
      </c>
      <c r="F57" s="465" t="str">
        <f>FHD_P_21</f>
        <v>Расходы на амортизацию нематериальных активов</v>
      </c>
      <c r="G57" s="88" t="s">
        <v>553</v>
      </c>
      <c r="H57" s="453"/>
      <c r="I57" s="453"/>
      <c r="J57" s="296" t="str">
        <f>FHD_NOTE_P_21</f>
        <v/>
      </c>
      <c r="K57" s="75" t="str">
        <f t="shared" si="0"/>
        <v/>
      </c>
      <c r="AF57" s="37">
        <v>11</v>
      </c>
    </row>
    <row r="58" spans="5:32" ht="11.45" customHeight="1">
      <c r="E58" s="438" t="str">
        <f>FHD_NUM_P_22</f>
        <v>2.9</v>
      </c>
      <c r="F58" s="421" t="str">
        <f>FHD_P_22</f>
        <v>Расходы на аренду имущества, используемого для осуществления регулируемого вида деятельности</v>
      </c>
      <c r="G58" s="88" t="s">
        <v>553</v>
      </c>
      <c r="H58" s="453"/>
      <c r="I58" s="453"/>
      <c r="J58" s="296" t="str">
        <f>FHD_NOTE_P_22</f>
        <v/>
      </c>
      <c r="K58" s="75" t="str">
        <f t="shared" si="0"/>
        <v>p</v>
      </c>
      <c r="AF58" s="37">
        <v>11</v>
      </c>
    </row>
    <row r="59" spans="5:32" ht="11.45" customHeight="1">
      <c r="E59" s="438" t="str">
        <f>FHD_NUM_P_23</f>
        <v>2.10</v>
      </c>
      <c r="F59" s="421" t="str">
        <f>FHD_P_23</f>
        <v>Общепроизводственные расходы, в том числе:</v>
      </c>
      <c r="G59" s="88" t="s">
        <v>553</v>
      </c>
      <c r="H59" s="453"/>
      <c r="I59" s="453"/>
      <c r="J59" s="296" t="str">
        <f>FHD_NOTE_P_23</f>
        <v>Указывается общая сумма общепроизводственных расходов.</v>
      </c>
      <c r="K59" s="75" t="str">
        <f t="shared" si="0"/>
        <v>p</v>
      </c>
      <c r="AF59" s="37">
        <v>11</v>
      </c>
    </row>
    <row r="60" spans="5:32" ht="11.45" customHeight="1">
      <c r="E60" s="438" t="str">
        <f>FHD_NUM_P_24</f>
        <v>2.10.1</v>
      </c>
      <c r="F60" s="465" t="str">
        <f>FHD_P_24</f>
        <v>Расходы на текущий ремонт</v>
      </c>
      <c r="G60" s="88" t="s">
        <v>553</v>
      </c>
      <c r="H60" s="453"/>
      <c r="I60" s="453"/>
      <c r="J60" s="296" t="str">
        <f>FHD_NOTE_P_24</f>
        <v>Указываются расходы на текущий ремонт, отнесенные к общепроизводственным расходам.</v>
      </c>
      <c r="K60" s="75" t="str">
        <f t="shared" si="0"/>
        <v/>
      </c>
      <c r="AF60" s="37">
        <v>11</v>
      </c>
    </row>
    <row r="61" spans="5:32" ht="11.45" customHeight="1">
      <c r="E61" s="438" t="str">
        <f>FHD_NUM_P_25</f>
        <v>2.10.2</v>
      </c>
      <c r="F61" s="465" t="str">
        <f>FHD_P_25</f>
        <v>Расходы на капитальный ремонт</v>
      </c>
      <c r="G61" s="88" t="s">
        <v>553</v>
      </c>
      <c r="H61" s="453"/>
      <c r="I61" s="453"/>
      <c r="J61" s="296" t="str">
        <f>FHD_NOTE_P_25</f>
        <v>Указываются расходы на капитальный ремонт, отнесенные к общепроизводственным расходам.</v>
      </c>
      <c r="K61" s="75" t="str">
        <f t="shared" si="0"/>
        <v/>
      </c>
      <c r="AF61" s="37">
        <v>11</v>
      </c>
    </row>
    <row r="62" spans="5:32" ht="11.45" customHeight="1">
      <c r="E62" s="438" t="str">
        <f>FHD_NUM_P_26</f>
        <v>2.11</v>
      </c>
      <c r="F62" s="421" t="str">
        <f>FHD_P_26</f>
        <v>Общехозяйственные расходы, в том числе:</v>
      </c>
      <c r="G62" s="88" t="s">
        <v>553</v>
      </c>
      <c r="H62" s="453"/>
      <c r="I62" s="453"/>
      <c r="J62" s="296" t="str">
        <f>FHD_NOTE_P_26</f>
        <v>Указывается общая сумма общехозяйственных расходов.</v>
      </c>
      <c r="K62" s="75" t="str">
        <f t="shared" si="0"/>
        <v>p</v>
      </c>
      <c r="AF62" s="37">
        <v>11</v>
      </c>
    </row>
    <row r="63" spans="5:32" ht="11.45" customHeight="1">
      <c r="E63" s="438" t="str">
        <f>FHD_NUM_P_27</f>
        <v>2.11.1</v>
      </c>
      <c r="F63" s="465" t="str">
        <f>FHD_P_27</f>
        <v>Расходы на текущий ремонт</v>
      </c>
      <c r="G63" s="88" t="s">
        <v>553</v>
      </c>
      <c r="H63" s="453"/>
      <c r="I63" s="453"/>
      <c r="J63" s="296" t="str">
        <f>FHD_NOTE_P_27</f>
        <v>Указываются расходы на текущий ремонт, отнесенные к общехозяйственным расходам.</v>
      </c>
      <c r="K63" s="75" t="str">
        <f t="shared" si="0"/>
        <v/>
      </c>
      <c r="AF63" s="37">
        <v>11</v>
      </c>
    </row>
    <row r="64" spans="5:32" ht="11.45" customHeight="1">
      <c r="E64" s="438" t="str">
        <f>FHD_NUM_P_28</f>
        <v>2.11.2</v>
      </c>
      <c r="F64" s="465" t="str">
        <f>FHD_P_28</f>
        <v>Расходы на капитальный ремонт</v>
      </c>
      <c r="G64" s="88" t="s">
        <v>553</v>
      </c>
      <c r="H64" s="453"/>
      <c r="I64" s="453"/>
      <c r="J64" s="296" t="str">
        <f>FHD_NOTE_P_28</f>
        <v>Указываются расходы на капитальный ремонт, отнесенные к общехозяйственным расходам.</v>
      </c>
      <c r="K64" s="75" t="str">
        <f t="shared" si="0"/>
        <v/>
      </c>
      <c r="AF64" s="37">
        <v>11</v>
      </c>
    </row>
    <row r="65" spans="1:32" ht="11.45" customHeight="1">
      <c r="E65" s="438" t="str">
        <f>FHD_NUM_P_29</f>
        <v>2.12</v>
      </c>
      <c r="F65" s="421" t="str">
        <f>FHD_P_29</f>
        <v>Расходы на капитальный и текущий ремонт основных средств</v>
      </c>
      <c r="G65" s="88" t="s">
        <v>553</v>
      </c>
      <c r="H65" s="453"/>
      <c r="I65" s="453"/>
      <c r="J65" s="29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75" t="str">
        <f t="shared" si="0"/>
        <v>p</v>
      </c>
      <c r="AF65" s="37">
        <v>11</v>
      </c>
    </row>
    <row r="66" spans="1:32" ht="11.45" customHeight="1">
      <c r="E66" s="438" t="str">
        <f>FHD_NUM_P_30</f>
        <v>2.12.1</v>
      </c>
      <c r="F66" s="4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88" t="s">
        <v>307</v>
      </c>
      <c r="H66" s="226" t="s">
        <v>576</v>
      </c>
      <c r="I66" s="226" t="s">
        <v>576</v>
      </c>
      <c r="J66" s="296" t="str">
        <f>FHD_NOTE_P_30</f>
        <v/>
      </c>
      <c r="K66" s="75" t="str">
        <f t="shared" si="0"/>
        <v/>
      </c>
      <c r="L66" s="75">
        <f>IFERROR(MATCH("есть",B_FHD_FLAG_INDEX_1,0),0)</f>
        <v>0</v>
      </c>
      <c r="AF66" s="37">
        <v>11</v>
      </c>
    </row>
    <row r="67" spans="1:32" ht="23.25" hidden="1" customHeight="1">
      <c r="A67" s="1195" t="s">
        <v>577</v>
      </c>
      <c r="E67" s="438" t="str">
        <f>FHD_NUM_P_31</f>
        <v/>
      </c>
      <c r="F67" s="421" t="str">
        <f>FHD_P_31</f>
        <v/>
      </c>
      <c r="G67" s="88" t="s">
        <v>553</v>
      </c>
      <c r="H67" s="453"/>
      <c r="I67" s="453"/>
      <c r="J67" s="296" t="str">
        <f>FHD_NOTE_P_31</f>
        <v/>
      </c>
      <c r="K67" s="75" t="str">
        <f t="shared" si="0"/>
        <v/>
      </c>
      <c r="AF67" s="37">
        <v>22</v>
      </c>
    </row>
    <row r="68" spans="1:32" ht="47.25" hidden="1" customHeight="1">
      <c r="A68" s="1195"/>
      <c r="E68" s="438" t="str">
        <f>FHD_NUM_P_32</f>
        <v/>
      </c>
      <c r="F68" s="465" t="str">
        <f>FHD_P_32</f>
        <v/>
      </c>
      <c r="G68" s="88" t="s">
        <v>307</v>
      </c>
      <c r="H68" s="226" t="s">
        <v>576</v>
      </c>
      <c r="I68" s="226" t="s">
        <v>576</v>
      </c>
      <c r="J68" s="296" t="str">
        <f>FHD_NOTE_P_32</f>
        <v/>
      </c>
      <c r="K68" s="75" t="str">
        <f t="shared" si="0"/>
        <v/>
      </c>
      <c r="L68" s="75">
        <f>IFERROR(MATCH("есть",B_FHD_FLAG_INDEX_2,0),0)</f>
        <v>0</v>
      </c>
      <c r="AF68" s="37">
        <v>45</v>
      </c>
    </row>
    <row r="69" spans="1:32" ht="11.45" customHeight="1">
      <c r="E69" s="438" t="str">
        <f>FHD_NUM_P_33</f>
        <v>2.13</v>
      </c>
      <c r="F69" s="42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1" t="s">
        <v>553</v>
      </c>
      <c r="H69" s="469">
        <f>SUM(H70:H71)</f>
        <v>0</v>
      </c>
      <c r="I69" s="469">
        <f>SUM(I70:I71)</f>
        <v>0</v>
      </c>
      <c r="J69" s="29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75" t="str">
        <f t="shared" si="0"/>
        <v>p</v>
      </c>
      <c r="AF69" s="37">
        <v>11</v>
      </c>
    </row>
    <row r="70" spans="1:32" ht="1.1499999999999999" customHeight="1">
      <c r="E70" s="89" t="str">
        <f>E69&amp;".0"</f>
        <v>2.13.0</v>
      </c>
      <c r="F70" s="470"/>
      <c r="G70" s="89"/>
      <c r="H70" s="471"/>
      <c r="I70" s="471"/>
      <c r="J70" s="472"/>
      <c r="K70" s="75" t="str">
        <f t="shared" si="0"/>
        <v/>
      </c>
      <c r="AF70" s="75">
        <v>1</v>
      </c>
    </row>
    <row r="71" spans="1:32" ht="14.65" customHeight="1">
      <c r="E71" s="462"/>
      <c r="F71" s="132" t="s">
        <v>578</v>
      </c>
      <c r="G71" s="463"/>
      <c r="H71" s="464"/>
      <c r="I71" s="464"/>
      <c r="J71" s="341"/>
      <c r="AF71" s="37">
        <v>14</v>
      </c>
    </row>
    <row r="72" spans="1:32" ht="18.75" customHeight="1">
      <c r="A72" s="466" t="s">
        <v>579</v>
      </c>
      <c r="E72" s="438" t="str">
        <f>FHD_NUM_P_34</f>
        <v>3</v>
      </c>
      <c r="F72" s="165" t="str">
        <f>FHD_P_34</f>
        <v>Валовая прибыль (убытки) от реализации товаров и оказания услуг по регулируемому виду деятельности</v>
      </c>
      <c r="G72" s="88" t="s">
        <v>553</v>
      </c>
      <c r="H72" s="453"/>
      <c r="I72" s="453"/>
      <c r="J72" s="296" t="str">
        <f>FHD_NOTE_P_34</f>
        <v/>
      </c>
      <c r="AF72" s="37">
        <v>0</v>
      </c>
    </row>
    <row r="73" spans="1:32" ht="19.899999999999999" customHeight="1">
      <c r="E73" s="438" t="str">
        <f>FHD_NUM_P_35</f>
        <v>4</v>
      </c>
      <c r="F73" s="165" t="str">
        <f>FHD_P_35</f>
        <v>Чистая прибыль, полученная от регулируемого вида деятельности, в том числе:</v>
      </c>
      <c r="G73" s="88" t="s">
        <v>553</v>
      </c>
      <c r="H73" s="453"/>
      <c r="I73" s="453"/>
      <c r="J73" s="296" t="str">
        <f>FHD_NOTE_P_35</f>
        <v>Указывается общая сумма чистой прибыли, полученной от регулируемого вида деятельности.</v>
      </c>
      <c r="AF73" s="37">
        <v>19</v>
      </c>
    </row>
    <row r="74" spans="1:32" ht="19.899999999999999" customHeight="1">
      <c r="E74" s="438" t="str">
        <f>FHD_NUM_P_36</f>
        <v>4.1</v>
      </c>
      <c r="F74" s="42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88" t="s">
        <v>553</v>
      </c>
      <c r="H74" s="453"/>
      <c r="I74" s="453"/>
      <c r="J74" s="296" t="str">
        <f>FHD_NOTE_P_36</f>
        <v/>
      </c>
      <c r="AF74" s="37">
        <v>19</v>
      </c>
    </row>
    <row r="75" spans="1:32" ht="19.899999999999999" customHeight="1">
      <c r="E75" s="438" t="str">
        <f>FHD_NUM_P_37</f>
        <v>5</v>
      </c>
      <c r="F75" s="165" t="str">
        <f>FHD_P_37</f>
        <v>Изменение стоимости основных фондов, в том числе:</v>
      </c>
      <c r="G75" s="88" t="s">
        <v>553</v>
      </c>
      <c r="H75" s="453"/>
      <c r="I75" s="453"/>
      <c r="J75" s="296" t="str">
        <f>FHD_NOTE_P_37</f>
        <v>Указывается общее изменение стоимости основных фондов.</v>
      </c>
      <c r="AF75" s="37">
        <v>19</v>
      </c>
    </row>
    <row r="76" spans="1:32" ht="19.899999999999999" customHeight="1">
      <c r="E76" s="438" t="str">
        <f>FHD_NUM_P_38</f>
        <v>5.1</v>
      </c>
      <c r="F76" s="421" t="str">
        <f>FHD_P_38</f>
        <v>Изменение стоимости основных фондов за счет:</v>
      </c>
      <c r="G76" s="88" t="s">
        <v>553</v>
      </c>
      <c r="H76" s="453"/>
      <c r="I76" s="453"/>
      <c r="J76" s="296" t="str">
        <f>FHD_NOTE_P_38</f>
        <v>Указываются общее изменение стоимости основных фондов за счет их ввода в эксплуатацию и вывода из эксплуатации.</v>
      </c>
      <c r="AF76" s="37">
        <v>19</v>
      </c>
    </row>
    <row r="77" spans="1:32" ht="19.899999999999999" customHeight="1">
      <c r="E77" s="438" t="str">
        <f>FHD_NUM_P_39</f>
        <v>5.1.1</v>
      </c>
      <c r="F77" s="465" t="str">
        <f>FHD_P_39</f>
        <v>Изменения стоимости основных фондов за счет их ввода в эксплуатацию</v>
      </c>
      <c r="G77" s="161" t="s">
        <v>553</v>
      </c>
      <c r="H77" s="453"/>
      <c r="I77" s="453"/>
      <c r="J77" s="296" t="str">
        <f>FHD_NOTE_P_39</f>
        <v>Указываются изменение стоимости основных фондов за счет их ввода в эксплуатацию.</v>
      </c>
      <c r="AF77" s="37">
        <v>19</v>
      </c>
    </row>
    <row r="78" spans="1:32" ht="19.899999999999999" customHeight="1">
      <c r="E78" s="438" t="str">
        <f>FHD_NUM_P_40</f>
        <v>5.1.2</v>
      </c>
      <c r="F78" s="473" t="str">
        <f>FHD_P_40</f>
        <v>Изменения стоимости основных фондов за счет их вывода в эксплуатацию</v>
      </c>
      <c r="G78" s="88" t="s">
        <v>553</v>
      </c>
      <c r="H78" s="474"/>
      <c r="I78" s="453"/>
      <c r="J78" s="296" t="str">
        <f>FHD_NOTE_P_40</f>
        <v>Указываются изменение стоимости основных фондов за счет их вывода из эксплуатации.</v>
      </c>
      <c r="AF78" s="37">
        <v>19</v>
      </c>
    </row>
    <row r="79" spans="1:32" ht="19.899999999999999" customHeight="1">
      <c r="E79" s="438" t="str">
        <f>FHD_NUM_P_41</f>
        <v>5.2</v>
      </c>
      <c r="F79" s="475" t="str">
        <f>FHD_P_41</f>
        <v>Изменение стоимости основных фондов за счет их переоценки</v>
      </c>
      <c r="G79" s="88" t="s">
        <v>553</v>
      </c>
      <c r="H79" s="474"/>
      <c r="I79" s="453"/>
      <c r="J79" s="296" t="str">
        <f>FHD_NOTE_P_41</f>
        <v/>
      </c>
      <c r="AF79" s="37">
        <v>19</v>
      </c>
    </row>
    <row r="80" spans="1:32" ht="19.899999999999999" hidden="1" customHeight="1">
      <c r="A80" s="466" t="s">
        <v>580</v>
      </c>
      <c r="E80" s="438" t="str">
        <f>FHD_NUM_P_42</f>
        <v/>
      </c>
      <c r="F80" s="178" t="str">
        <f>FHD_P_42</f>
        <v/>
      </c>
      <c r="G80" s="88" t="s">
        <v>553</v>
      </c>
      <c r="H80" s="474"/>
      <c r="I80" s="453"/>
      <c r="J80" s="296" t="str">
        <f>FHD_NOTE_P_42</f>
        <v/>
      </c>
      <c r="AF80" s="37">
        <v>19</v>
      </c>
    </row>
    <row r="81" spans="1:32" ht="19.899999999999999" customHeight="1">
      <c r="E81" s="438" t="str">
        <f>FHD_NUM_P_43</f>
        <v>6</v>
      </c>
      <c r="F81" s="165" t="str">
        <f>FHD_P_43</f>
        <v>Годовая бухгалтерская (финансовая) отчетность, включая бухгалтерский баланс и приложения к нему</v>
      </c>
      <c r="G81" s="93" t="s">
        <v>307</v>
      </c>
      <c r="H81" s="476"/>
      <c r="I81" s="477"/>
      <c r="J81" s="29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F81" s="37">
        <v>19</v>
      </c>
    </row>
    <row r="82" spans="1:32" ht="18.75" hidden="1" customHeight="1">
      <c r="A82" s="1195" t="s">
        <v>581</v>
      </c>
      <c r="E82" s="438" t="str">
        <f>FHD_NUM_P_44</f>
        <v/>
      </c>
      <c r="F82" s="165" t="str">
        <f>FHD_P_44</f>
        <v/>
      </c>
      <c r="G82" s="88" t="s">
        <v>582</v>
      </c>
      <c r="H82" s="478"/>
      <c r="I82" s="467"/>
      <c r="J82" s="296" t="str">
        <f>FHD_NOTE_P_44</f>
        <v/>
      </c>
      <c r="AF82" s="37">
        <v>0</v>
      </c>
    </row>
    <row r="83" spans="1:32" ht="18.75" hidden="1" customHeight="1">
      <c r="A83" s="1195"/>
      <c r="E83" s="438" t="str">
        <f>FHD_NUM_P_45</f>
        <v/>
      </c>
      <c r="F83" s="165" t="str">
        <f>FHD_P_45</f>
        <v/>
      </c>
      <c r="G83" s="88" t="s">
        <v>582</v>
      </c>
      <c r="H83" s="478"/>
      <c r="I83" s="467"/>
      <c r="J83" s="296" t="str">
        <f>FHD_NOTE_P_45</f>
        <v/>
      </c>
      <c r="AF83" s="37">
        <v>0</v>
      </c>
    </row>
    <row r="84" spans="1:32" ht="18.75" hidden="1" customHeight="1">
      <c r="A84" s="1195"/>
      <c r="E84" s="438" t="str">
        <f>FHD_NUM_P_46</f>
        <v/>
      </c>
      <c r="F84" s="165" t="str">
        <f>FHD_P_46</f>
        <v/>
      </c>
      <c r="G84" s="88" t="s">
        <v>582</v>
      </c>
      <c r="H84" s="478"/>
      <c r="I84" s="467"/>
      <c r="J84" s="296" t="str">
        <f>FHD_NOTE_P_46</f>
        <v/>
      </c>
      <c r="AF84" s="37">
        <v>0</v>
      </c>
    </row>
    <row r="85" spans="1:32" ht="18.75" hidden="1" customHeight="1">
      <c r="A85" s="1195"/>
      <c r="E85" s="438" t="str">
        <f>FHD_NUM_P_47</f>
        <v/>
      </c>
      <c r="F85" s="165" t="str">
        <f>FHD_P_47</f>
        <v/>
      </c>
      <c r="G85" s="88" t="s">
        <v>582</v>
      </c>
      <c r="H85" s="478"/>
      <c r="I85" s="467"/>
      <c r="J85" s="296" t="str">
        <f>FHD_NOTE_P_47</f>
        <v/>
      </c>
      <c r="AF85" s="37">
        <v>0</v>
      </c>
    </row>
    <row r="86" spans="1:32" ht="18.75" hidden="1" customHeight="1">
      <c r="A86" s="1195"/>
      <c r="E86" s="438" t="str">
        <f>FHD_NUM_P_48</f>
        <v/>
      </c>
      <c r="F86" s="165" t="str">
        <f>FHD_P_48</f>
        <v/>
      </c>
      <c r="G86" s="88" t="s">
        <v>582</v>
      </c>
      <c r="H86" s="478"/>
      <c r="I86" s="467"/>
      <c r="J86" s="296" t="str">
        <f>FHD_NOTE_P_48</f>
        <v/>
      </c>
      <c r="AF86" s="17">
        <v>0</v>
      </c>
    </row>
    <row r="87" spans="1:32" ht="18.75" hidden="1" customHeight="1">
      <c r="A87" s="1195"/>
      <c r="E87" s="438" t="str">
        <f>FHD_NUM_P_49</f>
        <v/>
      </c>
      <c r="F87" s="165" t="str">
        <f>FHD_P_49</f>
        <v/>
      </c>
      <c r="G87" s="88" t="s">
        <v>582</v>
      </c>
      <c r="H87" s="479">
        <f>SUM(H88:H89)</f>
        <v>0</v>
      </c>
      <c r="I87" s="480">
        <f>SUM(I88:I89)</f>
        <v>0</v>
      </c>
      <c r="J87" s="296" t="str">
        <f>FHD_NOTE_P_49</f>
        <v/>
      </c>
      <c r="AF87" s="17">
        <v>0</v>
      </c>
    </row>
    <row r="88" spans="1:32" ht="18.75" hidden="1" customHeight="1">
      <c r="A88" s="1195"/>
      <c r="E88" s="438" t="str">
        <f>FHD_NUM_P_50</f>
        <v/>
      </c>
      <c r="F88" s="165" t="str">
        <f>FHD_P_50</f>
        <v/>
      </c>
      <c r="G88" s="88" t="s">
        <v>582</v>
      </c>
      <c r="H88" s="478"/>
      <c r="I88" s="467"/>
      <c r="J88" s="296" t="str">
        <f>FHD_NOTE_P_50</f>
        <v/>
      </c>
      <c r="AF88" s="17">
        <v>0</v>
      </c>
    </row>
    <row r="89" spans="1:32" ht="18.75" hidden="1" customHeight="1">
      <c r="A89" s="1195"/>
      <c r="E89" s="438" t="str">
        <f>FHD_NUM_P_51</f>
        <v/>
      </c>
      <c r="F89" s="165" t="str">
        <f>FHD_P_51</f>
        <v/>
      </c>
      <c r="G89" s="88" t="s">
        <v>582</v>
      </c>
      <c r="H89" s="478"/>
      <c r="I89" s="467"/>
      <c r="J89" s="296" t="str">
        <f>FHD_NOTE_P_51</f>
        <v/>
      </c>
      <c r="AF89" s="17">
        <v>0</v>
      </c>
    </row>
    <row r="90" spans="1:32" ht="18.75" hidden="1" customHeight="1">
      <c r="A90" s="1195"/>
      <c r="E90" s="438" t="str">
        <f>FHD_NUM_P_52</f>
        <v/>
      </c>
      <c r="F90" s="165" t="str">
        <f>FHD_P_52</f>
        <v/>
      </c>
      <c r="G90" s="88" t="s">
        <v>559</v>
      </c>
      <c r="H90" s="474"/>
      <c r="I90" s="453"/>
      <c r="J90" s="296" t="str">
        <f>FHD_NOTE_P_52</f>
        <v/>
      </c>
      <c r="AF90" s="17">
        <v>0</v>
      </c>
    </row>
    <row r="91" spans="1:32" ht="18.75" hidden="1" customHeight="1">
      <c r="A91" s="1195" t="s">
        <v>583</v>
      </c>
      <c r="E91" s="438" t="str">
        <f>FHD_NUM_P_53</f>
        <v/>
      </c>
      <c r="F91" s="165" t="str">
        <f>FHD_P_53</f>
        <v/>
      </c>
      <c r="G91" s="88" t="s">
        <v>582</v>
      </c>
      <c r="H91" s="478"/>
      <c r="I91" s="467"/>
      <c r="J91" s="296" t="str">
        <f>FHD_NOTE_P_53</f>
        <v/>
      </c>
      <c r="AF91" s="37">
        <v>0</v>
      </c>
    </row>
    <row r="92" spans="1:32" ht="18.75" hidden="1" customHeight="1">
      <c r="A92" s="1195"/>
      <c r="E92" s="438" t="str">
        <f>FHD_NUM_P_54</f>
        <v/>
      </c>
      <c r="F92" s="165" t="str">
        <f>FHD_P_54</f>
        <v/>
      </c>
      <c r="G92" s="88" t="s">
        <v>582</v>
      </c>
      <c r="H92" s="478"/>
      <c r="I92" s="467"/>
      <c r="J92" s="296" t="str">
        <f>FHD_NOTE_P_54</f>
        <v/>
      </c>
      <c r="AF92" s="37">
        <v>0</v>
      </c>
    </row>
    <row r="93" spans="1:32" ht="18.75" hidden="1" customHeight="1">
      <c r="A93" s="1195"/>
      <c r="E93" s="438" t="str">
        <f>FHD_NUM_P_55</f>
        <v/>
      </c>
      <c r="F93" s="165" t="str">
        <f>FHD_P_55</f>
        <v/>
      </c>
      <c r="G93" s="420"/>
      <c r="H93" s="478"/>
      <c r="I93" s="467"/>
      <c r="J93" s="296" t="str">
        <f>FHD_NOTE_P_55</f>
        <v/>
      </c>
      <c r="AF93" s="37">
        <v>0</v>
      </c>
    </row>
    <row r="94" spans="1:32" ht="18.75" hidden="1" customHeight="1">
      <c r="A94" s="1195"/>
      <c r="E94" s="438" t="str">
        <f>FHD_NUM_P_56</f>
        <v/>
      </c>
      <c r="F94" s="165" t="str">
        <f>FHD_P_56</f>
        <v/>
      </c>
      <c r="G94" s="88" t="s">
        <v>584</v>
      </c>
      <c r="H94" s="478"/>
      <c r="I94" s="467"/>
      <c r="J94" s="296" t="str">
        <f>FHD_NOTE_P_56</f>
        <v/>
      </c>
      <c r="AF94" s="37">
        <v>0</v>
      </c>
    </row>
    <row r="95" spans="1:32" ht="18.75" hidden="1" customHeight="1">
      <c r="A95" s="1195"/>
      <c r="E95" s="438" t="str">
        <f>FHD_NUM_P_57</f>
        <v/>
      </c>
      <c r="F95" s="165" t="str">
        <f>FHD_P_57</f>
        <v/>
      </c>
      <c r="G95" s="88" t="s">
        <v>559</v>
      </c>
      <c r="H95" s="474"/>
      <c r="I95" s="453"/>
      <c r="J95" s="296" t="str">
        <f>FHD_NOTE_P_57</f>
        <v/>
      </c>
      <c r="AF95" s="17">
        <v>0</v>
      </c>
    </row>
    <row r="96" spans="1:32" ht="18.75" hidden="1" customHeight="1">
      <c r="A96" s="1195" t="s">
        <v>585</v>
      </c>
      <c r="E96" s="438" t="str">
        <f>FHD_NUM_P_58</f>
        <v/>
      </c>
      <c r="F96" s="165" t="str">
        <f>FHD_P_58</f>
        <v/>
      </c>
      <c r="G96" s="88" t="s">
        <v>582</v>
      </c>
      <c r="H96" s="478"/>
      <c r="I96" s="467"/>
      <c r="J96" s="296" t="str">
        <f>FHD_NOTE_P_58</f>
        <v/>
      </c>
      <c r="AF96" s="17">
        <v>0</v>
      </c>
    </row>
    <row r="97" spans="1:32" ht="18.75" hidden="1" customHeight="1">
      <c r="A97" s="1195"/>
      <c r="E97" s="438" t="str">
        <f>FHD_NUM_P_59</f>
        <v/>
      </c>
      <c r="F97" s="165" t="str">
        <f>FHD_P_59</f>
        <v/>
      </c>
      <c r="G97" s="88" t="s">
        <v>582</v>
      </c>
      <c r="H97" s="478"/>
      <c r="I97" s="467"/>
      <c r="J97" s="296" t="str">
        <f>FHD_NOTE_P_59</f>
        <v/>
      </c>
      <c r="AF97" s="17">
        <v>0</v>
      </c>
    </row>
    <row r="98" spans="1:32" ht="18.75" hidden="1" customHeight="1">
      <c r="A98" s="1195"/>
      <c r="E98" s="438" t="str">
        <f>FHD_NUM_P_60</f>
        <v/>
      </c>
      <c r="F98" s="165" t="str">
        <f>FHD_P_60</f>
        <v/>
      </c>
      <c r="G98" s="88" t="s">
        <v>582</v>
      </c>
      <c r="H98" s="478"/>
      <c r="I98" s="467"/>
      <c r="J98" s="296" t="str">
        <f>FHD_NOTE_P_60</f>
        <v/>
      </c>
      <c r="AF98" s="17">
        <v>0</v>
      </c>
    </row>
    <row r="99" spans="1:32" ht="18.75" customHeight="1">
      <c r="A99" s="1195" t="s">
        <v>586</v>
      </c>
      <c r="E99" s="438" t="str">
        <f>FHD_NUM_P_61</f>
        <v>7</v>
      </c>
      <c r="F99" s="1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88" t="s">
        <v>557</v>
      </c>
      <c r="H99" s="481"/>
      <c r="I99" s="482"/>
      <c r="J99" s="29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AF99" s="37">
        <v>0</v>
      </c>
    </row>
    <row r="100" spans="1:32" ht="0.75" customHeight="1">
      <c r="A100" s="1195"/>
      <c r="E100" s="89" t="str">
        <f>E99&amp;".0"</f>
        <v>7.0</v>
      </c>
      <c r="F100" s="483"/>
      <c r="G100" s="484"/>
      <c r="H100" s="471"/>
      <c r="I100" s="471"/>
      <c r="J100" s="485"/>
      <c r="AF100" s="75">
        <v>0</v>
      </c>
    </row>
    <row r="101" spans="1:32" ht="15" customHeight="1">
      <c r="A101" s="1195"/>
      <c r="E101" s="486"/>
      <c r="F101" s="487" t="s">
        <v>587</v>
      </c>
      <c r="G101" s="463"/>
      <c r="H101" s="464"/>
      <c r="I101" s="464"/>
      <c r="J101" s="488" t="s">
        <v>588</v>
      </c>
      <c r="AF101" s="17">
        <v>0</v>
      </c>
    </row>
    <row r="102" spans="1:32" ht="18.75" customHeight="1">
      <c r="A102" s="1195"/>
      <c r="E102" s="438" t="str">
        <f>FHD_NUM_P_62</f>
        <v>8</v>
      </c>
      <c r="F102" s="165" t="str">
        <f>FHD_P_62</f>
        <v>Тепловая нагрузка по договорам, заключенным в рамках осуществления регулируемых видов деятельности</v>
      </c>
      <c r="G102" s="21" t="s">
        <v>557</v>
      </c>
      <c r="H102" s="453"/>
      <c r="I102" s="453"/>
      <c r="J102" s="296" t="str">
        <f>FHD_NOTE_P_62</f>
        <v>Регулируемыми организациями указывается информация по договорам, заключенным в рамках осуществления регулируемых видов деятельности</v>
      </c>
      <c r="AF102" s="37">
        <v>0</v>
      </c>
    </row>
    <row r="103" spans="1:32" ht="18.75" customHeight="1">
      <c r="A103" s="1195"/>
      <c r="E103" s="438" t="str">
        <f>FHD_NUM_P_63</f>
        <v>9</v>
      </c>
      <c r="F103" s="165" t="str">
        <f>FHD_P_63</f>
        <v>Объем вырабатываемой регулируемой организацией тепловой энергии в рамках осуществления регулируемых видов деятельности</v>
      </c>
      <c r="G103" s="21" t="s">
        <v>584</v>
      </c>
      <c r="H103" s="467"/>
      <c r="I103" s="467"/>
      <c r="J103" s="29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F103" s="37">
        <v>0</v>
      </c>
    </row>
    <row r="104" spans="1:32" ht="18.75" customHeight="1">
      <c r="A104" s="1195"/>
      <c r="C104" s="75" t="s">
        <v>589</v>
      </c>
      <c r="E104" s="438" t="str">
        <f>FHD_NUM_P_64</f>
        <v>9.1</v>
      </c>
      <c r="F104" s="165" t="str">
        <f>FHD_P_64</f>
        <v>Объем приобретаемой регулируемой организацией тепловой энергии в рамках осуществления регулируемых видов деятельности</v>
      </c>
      <c r="G104" s="21" t="s">
        <v>584</v>
      </c>
      <c r="H104" s="446"/>
      <c r="I104" s="446"/>
      <c r="J104" s="296" t="str">
        <f>FHD_NOTE_P_64</f>
        <v>Информация указывается только едиными теплоснабжающими организациями.</v>
      </c>
      <c r="AF104" s="37">
        <v>0</v>
      </c>
    </row>
    <row r="105" spans="1:32" ht="18.75" customHeight="1">
      <c r="A105" s="1195"/>
      <c r="E105" s="438" t="str">
        <f>FHD_NUM_P_65</f>
        <v>10</v>
      </c>
      <c r="F105" s="1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 t="s">
        <v>584</v>
      </c>
      <c r="H105" s="467"/>
      <c r="I105" s="467"/>
      <c r="J105" s="29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F105" s="37">
        <v>0</v>
      </c>
    </row>
    <row r="106" spans="1:32" ht="18.75" customHeight="1">
      <c r="A106" s="1195"/>
      <c r="E106" s="438" t="str">
        <f>FHD_NUM_P_66</f>
        <v>10.1</v>
      </c>
      <c r="F106" s="421" t="str">
        <f>FHD_P_66</f>
        <v xml:space="preserve">По приборам учёта </v>
      </c>
      <c r="G106" s="21" t="s">
        <v>584</v>
      </c>
      <c r="H106" s="467"/>
      <c r="I106" s="467"/>
      <c r="J106" s="296" t="str">
        <f>FHD_NOTE_P_66</f>
        <v/>
      </c>
      <c r="AF106" s="37">
        <v>0</v>
      </c>
    </row>
    <row r="107" spans="1:32" ht="18.75" customHeight="1">
      <c r="A107" s="1195"/>
      <c r="E107" s="438" t="str">
        <f>FHD_NUM_P_67</f>
        <v>10.1.1</v>
      </c>
      <c r="F107" s="4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 t="s">
        <v>584</v>
      </c>
      <c r="H107" s="467"/>
      <c r="I107" s="467"/>
      <c r="J107" s="296" t="str">
        <f>FHD_NOTE_P_67</f>
        <v/>
      </c>
      <c r="AF107" s="37">
        <v>0</v>
      </c>
    </row>
    <row r="108" spans="1:32" ht="18.75" customHeight="1">
      <c r="A108" s="1195"/>
      <c r="E108" s="438" t="str">
        <f>FHD_NUM_P_68</f>
        <v>10.2</v>
      </c>
      <c r="F108" s="421" t="str">
        <f>FHD_P_68</f>
        <v>Расчётным путём</v>
      </c>
      <c r="G108" s="21" t="s">
        <v>584</v>
      </c>
      <c r="H108" s="467"/>
      <c r="I108" s="467"/>
      <c r="J108" s="296" t="str">
        <f>FHD_NOTE_P_68</f>
        <v/>
      </c>
      <c r="AF108" s="37">
        <v>0</v>
      </c>
    </row>
    <row r="109" spans="1:32" ht="18.75" customHeight="1">
      <c r="A109" s="1195"/>
      <c r="E109" s="438" t="str">
        <f>FHD_NUM_P_69</f>
        <v>10.3</v>
      </c>
      <c r="F109" s="421" t="str">
        <f>FHD_P_69</f>
        <v>По нормативам потребления коммунальных услуг и нормативам потребления коммунальных ресурсов</v>
      </c>
      <c r="G109" s="21" t="s">
        <v>584</v>
      </c>
      <c r="H109" s="467"/>
      <c r="I109" s="467"/>
      <c r="J109" s="296" t="str">
        <f>FHD_NOTE_P_69</f>
        <v/>
      </c>
      <c r="AF109" s="37">
        <v>0</v>
      </c>
    </row>
    <row r="110" spans="1:32" ht="22.5" customHeight="1">
      <c r="A110" s="1195"/>
      <c r="E110" s="438" t="str">
        <f>FHD_NUM_P_70</f>
        <v>11</v>
      </c>
      <c r="F110" s="1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 t="s">
        <v>590</v>
      </c>
      <c r="H110" s="453"/>
      <c r="I110" s="453"/>
      <c r="J110" s="296" t="str">
        <f>FHD_NOTE_P_70</f>
        <v/>
      </c>
      <c r="AF110" s="37">
        <v>0</v>
      </c>
    </row>
    <row r="111" spans="1:32" ht="22.5" customHeight="1">
      <c r="A111" s="1195"/>
      <c r="E111" s="438" t="str">
        <f>FHD_NUM_P_71</f>
        <v>12</v>
      </c>
      <c r="F111" s="165" t="str">
        <f>FHD_P_71</f>
        <v>Фактический объем потерь при передаче тепловой энергии</v>
      </c>
      <c r="G111" s="21" t="s">
        <v>590</v>
      </c>
      <c r="H111" s="453"/>
      <c r="I111" s="453"/>
      <c r="J111" s="296" t="str">
        <f>FHD_NOTE_P_71</f>
        <v/>
      </c>
      <c r="AF111" s="37">
        <v>0</v>
      </c>
    </row>
    <row r="112" spans="1:32" ht="19.899999999999999" customHeight="1">
      <c r="E112" s="438" t="str">
        <f>FHD_NUM_P_72</f>
        <v>13</v>
      </c>
      <c r="F112" s="165" t="str">
        <f>FHD_P_72</f>
        <v>Среднесписочная численность основного производственного персонала</v>
      </c>
      <c r="G112" s="21" t="s">
        <v>591</v>
      </c>
      <c r="H112" s="467"/>
      <c r="I112" s="467"/>
      <c r="J112" s="296" t="str">
        <f>FHD_NOTE_P_72</f>
        <v/>
      </c>
      <c r="AF112" s="17">
        <v>19</v>
      </c>
    </row>
    <row r="113" spans="1:32" ht="18.75" customHeight="1">
      <c r="A113" s="466" t="s">
        <v>592</v>
      </c>
      <c r="E113" s="438" t="str">
        <f>FHD_NUM_P_73</f>
        <v>14</v>
      </c>
      <c r="F113" s="165" t="str">
        <f>FHD_P_73</f>
        <v>Среднесписочная численность административно-управленческого персонала</v>
      </c>
      <c r="G113" s="159" t="s">
        <v>591</v>
      </c>
      <c r="H113" s="489"/>
      <c r="I113" s="489"/>
      <c r="J113" s="296" t="str">
        <f>FHD_NOTE_P_73</f>
        <v/>
      </c>
      <c r="AF113" s="17">
        <v>0</v>
      </c>
    </row>
    <row r="114" spans="1:32" ht="33.75" hidden="1" customHeight="1">
      <c r="A114" s="466" t="s">
        <v>593</v>
      </c>
      <c r="E114" s="438" t="str">
        <f>FHD_NUM_P_74</f>
        <v/>
      </c>
      <c r="F114" s="165" t="str">
        <f>FHD_P_74</f>
        <v/>
      </c>
      <c r="G114" s="21" t="s">
        <v>594</v>
      </c>
      <c r="H114" s="467"/>
      <c r="I114" s="467"/>
      <c r="J114" s="296" t="str">
        <f>FHD_NOTE_P_74</f>
        <v/>
      </c>
      <c r="AF114" s="17">
        <v>0</v>
      </c>
    </row>
    <row r="115" spans="1:32" ht="18.75" hidden="1" customHeight="1">
      <c r="A115" s="1195" t="s">
        <v>595</v>
      </c>
      <c r="E115" s="438" t="str">
        <f>FHD_NUM_P_75</f>
        <v/>
      </c>
      <c r="F115" s="165" t="str">
        <f>FHD_P_75</f>
        <v/>
      </c>
      <c r="G115" s="21" t="s">
        <v>559</v>
      </c>
      <c r="H115" s="453"/>
      <c r="I115" s="453"/>
      <c r="J115" s="296" t="str">
        <f>FHD_NOTE_P_75</f>
        <v/>
      </c>
      <c r="AF115" s="17">
        <v>0</v>
      </c>
    </row>
    <row r="116" spans="1:32" ht="18.75" hidden="1" customHeight="1">
      <c r="A116" s="1195"/>
      <c r="E116" s="438" t="str">
        <f>FHD_NUM_P_76</f>
        <v/>
      </c>
      <c r="F116" s="165" t="str">
        <f>FHD_P_76</f>
        <v/>
      </c>
      <c r="G116" s="21" t="s">
        <v>559</v>
      </c>
      <c r="H116" s="453"/>
      <c r="I116" s="453"/>
      <c r="J116" s="296" t="str">
        <f>FHD_NOTE_P_76</f>
        <v/>
      </c>
      <c r="AF116" s="17">
        <v>0</v>
      </c>
    </row>
    <row r="117" spans="1:32" ht="18.75" hidden="1" customHeight="1">
      <c r="A117" s="1195"/>
      <c r="E117" s="438" t="str">
        <f>FHD_NUM_P_77</f>
        <v/>
      </c>
      <c r="F117" s="165" t="str">
        <f>FHD_P_77</f>
        <v/>
      </c>
      <c r="G117" s="21" t="s">
        <v>559</v>
      </c>
      <c r="H117" s="453"/>
      <c r="I117" s="453"/>
      <c r="J117" s="296" t="str">
        <f>FHD_NOTE_P_77</f>
        <v/>
      </c>
      <c r="AF117" s="17">
        <v>0</v>
      </c>
    </row>
    <row r="118" spans="1:32" ht="0.75" hidden="1" customHeight="1">
      <c r="A118" s="1195"/>
      <c r="E118" s="89" t="str">
        <f>E117&amp;".0"</f>
        <v>.0</v>
      </c>
      <c r="F118" s="490"/>
      <c r="G118" s="362"/>
      <c r="H118" s="471"/>
      <c r="I118" s="471"/>
      <c r="J118" s="485"/>
      <c r="AF118" s="75">
        <v>0</v>
      </c>
    </row>
    <row r="119" spans="1:32" ht="15" hidden="1" customHeight="1">
      <c r="A119" s="1195"/>
      <c r="E119" s="486"/>
      <c r="F119" s="487" t="s">
        <v>596</v>
      </c>
      <c r="G119" s="463"/>
      <c r="H119" s="464"/>
      <c r="I119" s="464"/>
      <c r="J119" s="488" t="s">
        <v>597</v>
      </c>
      <c r="AF119" s="17">
        <v>0</v>
      </c>
    </row>
    <row r="120" spans="1:32" ht="22.5" customHeight="1">
      <c r="A120" s="1195" t="s">
        <v>598</v>
      </c>
      <c r="E120" s="438" t="str">
        <f>FHD_NUM_P_78</f>
        <v>15</v>
      </c>
      <c r="F120" s="1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 t="s">
        <v>561</v>
      </c>
      <c r="H120" s="467"/>
      <c r="I120" s="467"/>
      <c r="J120" s="296" t="str">
        <f>FHD_NOTE_P_78</f>
        <v/>
      </c>
      <c r="AF120" s="17">
        <v>0</v>
      </c>
    </row>
    <row r="121" spans="1:32" ht="0.75" customHeight="1">
      <c r="A121" s="1195"/>
      <c r="E121" s="89" t="str">
        <f>E120&amp;".0"</f>
        <v>15.0</v>
      </c>
      <c r="F121" s="490"/>
      <c r="G121" s="362"/>
      <c r="H121" s="471"/>
      <c r="I121" s="471"/>
      <c r="J121" s="485"/>
      <c r="AF121" s="75">
        <v>0</v>
      </c>
    </row>
    <row r="122" spans="1:32" ht="15" customHeight="1">
      <c r="A122" s="1195"/>
      <c r="E122" s="462"/>
      <c r="F122" s="100" t="s">
        <v>587</v>
      </c>
      <c r="G122" s="463"/>
      <c r="H122" s="464"/>
      <c r="I122" s="464"/>
      <c r="J122" s="488" t="s">
        <v>599</v>
      </c>
      <c r="AF122" s="17">
        <v>0</v>
      </c>
    </row>
    <row r="123" spans="1:32" ht="22.5" customHeight="1">
      <c r="A123" s="1195"/>
      <c r="E123" s="438" t="str">
        <f>FHD_NUM_P_79</f>
        <v>16</v>
      </c>
      <c r="F123" s="1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88" t="s">
        <v>563</v>
      </c>
      <c r="H123" s="467"/>
      <c r="I123" s="467"/>
      <c r="J123" s="29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F123" s="17">
        <v>0</v>
      </c>
    </row>
    <row r="124" spans="1:32" ht="0.75" customHeight="1">
      <c r="A124" s="1195"/>
      <c r="E124" s="89" t="str">
        <f>E123&amp;".0"</f>
        <v>16.0</v>
      </c>
      <c r="F124" s="491"/>
      <c r="G124" s="362"/>
      <c r="H124" s="471"/>
      <c r="I124" s="471"/>
      <c r="J124" s="485"/>
      <c r="AF124" s="75">
        <v>0</v>
      </c>
    </row>
    <row r="125" spans="1:32" ht="15" customHeight="1">
      <c r="A125" s="1195"/>
      <c r="E125" s="462"/>
      <c r="F125" s="100" t="s">
        <v>587</v>
      </c>
      <c r="G125" s="463"/>
      <c r="H125" s="464"/>
      <c r="I125" s="464"/>
      <c r="J125" s="488" t="s">
        <v>600</v>
      </c>
      <c r="AF125" s="17">
        <v>0</v>
      </c>
    </row>
    <row r="126" spans="1:32" ht="22.5" customHeight="1">
      <c r="A126" s="1195"/>
      <c r="E126" s="438" t="str">
        <f>FHD_NUM_P_80</f>
        <v>17</v>
      </c>
      <c r="F126" s="1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88" t="s">
        <v>601</v>
      </c>
      <c r="H126" s="453"/>
      <c r="I126" s="453"/>
      <c r="J126" s="296" t="str">
        <f>FHD_NOTE_P_80</f>
        <v>Регулируемыми организациями указывается информация с по договорам, заключенным в рамках осуществления регулируемой деятельности.</v>
      </c>
      <c r="AF126" s="17">
        <v>0</v>
      </c>
    </row>
    <row r="127" spans="1:32" ht="18.75" customHeight="1">
      <c r="A127" s="1195"/>
      <c r="E127" s="438" t="str">
        <f>FHD_NUM_P_81</f>
        <v>18</v>
      </c>
      <c r="F127" s="1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88" t="s">
        <v>602</v>
      </c>
      <c r="H127" s="453"/>
      <c r="I127" s="453"/>
      <c r="J127" s="296" t="str">
        <f>FHD_NOTE_P_81</f>
        <v>Регулируемыми организациями указывается информация с по договорам, заключенным в рамках осуществления регулируемой деятельности.</v>
      </c>
      <c r="AF127" s="17">
        <v>0</v>
      </c>
    </row>
    <row r="128" spans="1:32" ht="18.75" customHeight="1">
      <c r="A128" s="1195"/>
      <c r="C128" s="75" t="s">
        <v>589</v>
      </c>
      <c r="E128" s="438" t="str">
        <f>FHD_NUM_P_82</f>
        <v>19</v>
      </c>
      <c r="F128" s="1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88" t="s">
        <v>307</v>
      </c>
      <c r="H128" s="477"/>
      <c r="I128" s="477"/>
      <c r="J128" s="296" t="str">
        <f>FHD_NOTE_P_82</f>
        <v>Указывается ссылка на документ, предварительно загруженный в хранилище файлов ФГИС ЕИАС.</v>
      </c>
      <c r="AF128" s="17">
        <v>0</v>
      </c>
    </row>
    <row r="129" spans="1:32" ht="18.75" customHeight="1">
      <c r="A129" s="1195"/>
      <c r="C129" s="75" t="s">
        <v>589</v>
      </c>
      <c r="E129" s="438" t="str">
        <f>FHD_NUM_P_83</f>
        <v>19.1</v>
      </c>
      <c r="F129" s="421" t="str">
        <f>FHD_P_83</f>
        <v>Информация о показателях физического износа объектов теплоснабжения</v>
      </c>
      <c r="G129" s="88" t="s">
        <v>307</v>
      </c>
      <c r="H129" s="477"/>
      <c r="I129" s="477"/>
      <c r="J129" s="296" t="str">
        <f>FHD_NOTE_P_83</f>
        <v>Указывается ссылка на документ, предварительно загруженный в хранилище файлов ФГИС ЕИАС.</v>
      </c>
      <c r="AF129" s="17">
        <v>0</v>
      </c>
    </row>
    <row r="130" spans="1:32" ht="18.75" customHeight="1">
      <c r="A130" s="1195"/>
      <c r="C130" s="75" t="s">
        <v>589</v>
      </c>
      <c r="E130" s="438" t="str">
        <f>FHD_NUM_P_84</f>
        <v>19.2</v>
      </c>
      <c r="F130" s="421" t="str">
        <f>FHD_P_84</f>
        <v>Информация о показателях энергетической эффективности объектов теплоснабжения</v>
      </c>
      <c r="G130" s="88" t="s">
        <v>307</v>
      </c>
      <c r="H130" s="477"/>
      <c r="I130" s="477"/>
      <c r="J130" s="296" t="str">
        <f>FHD_NOTE_P_84</f>
        <v>Указывается ссылка на документ, предварительно загруженный в хранилище файлов ФГИС ЕИАС.</v>
      </c>
      <c r="AF130" s="17">
        <v>0</v>
      </c>
    </row>
    <row r="131" spans="1:32" ht="11.45" customHeight="1">
      <c r="AF131" s="17">
        <v>11</v>
      </c>
    </row>
    <row r="132" spans="1:32" ht="13.5" customHeight="1">
      <c r="AF132" s="17">
        <v>13</v>
      </c>
    </row>
    <row r="133" spans="1:32" ht="11.45" customHeight="1">
      <c r="AF133" s="258">
        <v>11</v>
      </c>
    </row>
    <row r="134" spans="1:32" ht="11.45" customHeight="1">
      <c r="AF134" s="258">
        <v>11</v>
      </c>
    </row>
    <row r="135" spans="1:32" ht="11.45" customHeight="1">
      <c r="AF135" s="258">
        <v>11</v>
      </c>
    </row>
    <row r="136" spans="1:32" ht="11.45" customHeight="1">
      <c r="H136" s="13" t="str">
        <f>IF(H30-H31&lt;&gt;H72,"WARNING","")</f>
        <v/>
      </c>
      <c r="I136" s="13" t="str">
        <f>IF(I30-I31&lt;&gt;I72,"WARNING","")</f>
        <v/>
      </c>
      <c r="AF136" s="258">
        <v>11</v>
      </c>
    </row>
    <row r="137" spans="1:32" ht="11.45" customHeight="1">
      <c r="AF137" s="258">
        <v>11</v>
      </c>
    </row>
    <row r="138" spans="1:32" ht="11.45" customHeight="1">
      <c r="AF138" s="258">
        <v>11</v>
      </c>
    </row>
    <row r="139" spans="1:32" ht="11.45" customHeight="1">
      <c r="AF139" s="258">
        <v>11</v>
      </c>
    </row>
    <row r="140" spans="1:32" ht="11.45" customHeight="1">
      <c r="AF140" s="258">
        <v>11</v>
      </c>
    </row>
    <row r="141" spans="1:32" ht="11.45" customHeight="1">
      <c r="AF141" s="258">
        <v>11</v>
      </c>
    </row>
    <row r="142" spans="1:32" ht="11.45" customHeight="1">
      <c r="AF142" s="258">
        <v>11</v>
      </c>
    </row>
    <row r="143" spans="1:32" ht="11.45" customHeight="1">
      <c r="AF143" s="258">
        <v>11</v>
      </c>
    </row>
    <row r="144" spans="1:32" ht="11.45" customHeight="1">
      <c r="AF144" s="258">
        <v>11</v>
      </c>
    </row>
    <row r="145" spans="32:32" ht="11.45" customHeight="1">
      <c r="AF145" s="258">
        <v>11</v>
      </c>
    </row>
    <row r="146" spans="32:32" ht="11.45" customHeight="1">
      <c r="AF146" s="258">
        <v>11</v>
      </c>
    </row>
    <row r="147" spans="32:32" ht="11.45" customHeight="1">
      <c r="AF147" s="258">
        <v>11</v>
      </c>
    </row>
    <row r="148" spans="32:32" ht="11.45" customHeight="1">
      <c r="AF148" s="258">
        <v>11</v>
      </c>
    </row>
    <row r="149" spans="32:32" ht="11.45" customHeight="1">
      <c r="AF149" s="258">
        <v>11</v>
      </c>
    </row>
    <row r="150" spans="32:32" ht="11.45" customHeight="1">
      <c r="AF150" s="258">
        <v>11</v>
      </c>
    </row>
    <row r="151" spans="32:32" ht="11.45" customHeight="1">
      <c r="AF151" s="258">
        <v>11</v>
      </c>
    </row>
    <row r="152" spans="32:32" ht="11.45" customHeight="1">
      <c r="AF152" s="258">
        <v>11</v>
      </c>
    </row>
    <row r="153" spans="32:32" ht="11.45" customHeight="1">
      <c r="AF153" s="258">
        <v>11</v>
      </c>
    </row>
    <row r="154" spans="32:32" ht="11.45" customHeight="1">
      <c r="AF154" s="258">
        <v>11</v>
      </c>
    </row>
    <row r="155" spans="32:32" ht="11.45" customHeight="1">
      <c r="AF155" s="258">
        <v>11</v>
      </c>
    </row>
    <row r="156" spans="32:32" ht="11.45" customHeight="1">
      <c r="AF156" s="258">
        <v>11</v>
      </c>
    </row>
    <row r="157" spans="32:32" ht="11.45" customHeight="1">
      <c r="AF157" s="258">
        <v>11</v>
      </c>
    </row>
    <row r="158" spans="32:32" ht="11.45" customHeight="1">
      <c r="AF158" s="258">
        <v>11</v>
      </c>
    </row>
    <row r="159" spans="32:32" ht="11.45" customHeight="1">
      <c r="AF159" s="258">
        <v>11</v>
      </c>
    </row>
    <row r="160" spans="32:32" ht="11.45" customHeight="1">
      <c r="AF160" s="258">
        <v>11</v>
      </c>
    </row>
    <row r="161" spans="32:32" ht="11.45" customHeight="1">
      <c r="AF161" s="258">
        <v>11</v>
      </c>
    </row>
    <row r="162" spans="32:32" ht="11.45" customHeight="1">
      <c r="AF162" s="258">
        <v>11</v>
      </c>
    </row>
    <row r="163" spans="32:32" ht="11.45" customHeight="1">
      <c r="AF163" s="258">
        <v>11</v>
      </c>
    </row>
    <row r="164" spans="32:32" ht="11.45" customHeight="1">
      <c r="AF164" s="258">
        <v>11</v>
      </c>
    </row>
    <row r="165" spans="32:32" ht="11.45" customHeight="1">
      <c r="AF165" s="258">
        <v>11</v>
      </c>
    </row>
    <row r="166" spans="32:32" ht="11.45" customHeight="1">
      <c r="AF166" s="258">
        <v>11</v>
      </c>
    </row>
    <row r="167" spans="32:32" ht="11.45" customHeight="1">
      <c r="AF167" s="258">
        <v>11</v>
      </c>
    </row>
    <row r="168" spans="32:32" ht="11.45" customHeight="1">
      <c r="AF168" s="258">
        <v>11</v>
      </c>
    </row>
    <row r="169" spans="32:32" ht="11.45" customHeight="1">
      <c r="AF169" s="258">
        <v>11</v>
      </c>
    </row>
    <row r="170" spans="32:32" ht="11.45" customHeight="1">
      <c r="AF170" s="258">
        <v>11</v>
      </c>
    </row>
    <row r="171" spans="32:32" ht="11.45" customHeight="1">
      <c r="AF171" s="258">
        <v>11</v>
      </c>
    </row>
    <row r="172" spans="32:32" ht="11.45" customHeight="1">
      <c r="AF172" s="258">
        <v>11</v>
      </c>
    </row>
    <row r="173" spans="32:32" ht="11.45" customHeight="1">
      <c r="AF173" s="258">
        <v>11</v>
      </c>
    </row>
    <row r="174" spans="32:32" ht="11.45" customHeight="1">
      <c r="AF174" s="258">
        <v>11</v>
      </c>
    </row>
    <row r="175" spans="32:32" ht="11.45" customHeight="1">
      <c r="AF175" s="258">
        <v>11</v>
      </c>
    </row>
    <row r="176" spans="32:32" ht="11.45" customHeight="1">
      <c r="AF176" s="258">
        <v>11</v>
      </c>
    </row>
    <row r="177" spans="32:32" ht="11.45" customHeight="1">
      <c r="AF177" s="258">
        <v>11</v>
      </c>
    </row>
    <row r="178" spans="32:32" ht="11.45" customHeight="1">
      <c r="AF178" s="258">
        <v>11</v>
      </c>
    </row>
    <row r="179" spans="32:32" ht="11.45" customHeight="1">
      <c r="AF179" s="258">
        <v>11</v>
      </c>
    </row>
    <row r="180" spans="32:32" ht="11.45" customHeight="1">
      <c r="AF180" s="258">
        <v>11</v>
      </c>
    </row>
    <row r="181" spans="32:32" ht="11.45" customHeight="1">
      <c r="AF181" s="258">
        <v>11</v>
      </c>
    </row>
    <row r="182" spans="32:32" ht="11.45" customHeight="1">
      <c r="AF182" s="258">
        <v>11</v>
      </c>
    </row>
    <row r="183" spans="32:32" ht="11.45" customHeight="1">
      <c r="AF183" s="258">
        <v>11</v>
      </c>
    </row>
    <row r="184" spans="32:32" ht="11.45" customHeight="1">
      <c r="AF184" s="258">
        <v>11</v>
      </c>
    </row>
    <row r="185" spans="32:32" ht="11.45" customHeight="1">
      <c r="AF185" s="258">
        <v>11</v>
      </c>
    </row>
    <row r="186" spans="32:32" ht="11.45" customHeight="1">
      <c r="AF186" s="258">
        <v>11</v>
      </c>
    </row>
    <row r="187" spans="32:32" ht="11.45" customHeight="1">
      <c r="AF187" s="258">
        <v>11</v>
      </c>
    </row>
    <row r="188" spans="32:32" ht="11.45" customHeight="1">
      <c r="AF188" s="258">
        <v>11</v>
      </c>
    </row>
    <row r="189" spans="32:32" ht="11.45" customHeight="1">
      <c r="AF189" s="258">
        <v>11</v>
      </c>
    </row>
    <row r="190" spans="32:32" ht="11.45" customHeight="1">
      <c r="AF190" s="258">
        <v>11</v>
      </c>
    </row>
    <row r="191" spans="32:32" ht="11.45" customHeight="1">
      <c r="AF191" s="258">
        <v>11</v>
      </c>
    </row>
    <row r="192" spans="32:32" ht="11.45" customHeight="1">
      <c r="AF192" s="258">
        <v>11</v>
      </c>
    </row>
    <row r="193" spans="32:32" ht="11.45" customHeight="1">
      <c r="AF193" s="258">
        <v>11</v>
      </c>
    </row>
    <row r="194" spans="32:32" ht="11.45" customHeight="1">
      <c r="AF194" s="258">
        <v>11</v>
      </c>
    </row>
    <row r="195" spans="32:32" ht="11.45" customHeight="1">
      <c r="AF195" s="258">
        <v>11</v>
      </c>
    </row>
    <row r="196" spans="32:32" ht="11.45" customHeight="1">
      <c r="AF196" s="258">
        <v>11</v>
      </c>
    </row>
    <row r="197" spans="32:32" ht="11.45" customHeight="1">
      <c r="AF197" s="258">
        <v>11</v>
      </c>
    </row>
    <row r="198" spans="32:32" ht="11.45" customHeight="1">
      <c r="AF198" s="258">
        <v>11</v>
      </c>
    </row>
    <row r="199" spans="32:32" ht="11.45" customHeight="1">
      <c r="AF199" s="258">
        <v>11</v>
      </c>
    </row>
    <row r="200" spans="32:32" ht="11.45" customHeight="1">
      <c r="AF200" s="258">
        <v>11</v>
      </c>
    </row>
    <row r="201" spans="32:32" ht="11.45" customHeight="1">
      <c r="AF201" s="258">
        <v>11</v>
      </c>
    </row>
    <row r="202" spans="32:32" ht="11.45" customHeight="1">
      <c r="AF202" s="258">
        <v>11</v>
      </c>
    </row>
    <row r="203" spans="32:32" ht="11.45" customHeight="1">
      <c r="AF203" s="258">
        <v>11</v>
      </c>
    </row>
    <row r="204" spans="32:32" ht="11.45" customHeight="1">
      <c r="AF204" s="258">
        <v>11</v>
      </c>
    </row>
    <row r="205" spans="32:32" ht="11.45" customHeight="1">
      <c r="AF205" s="258">
        <v>11</v>
      </c>
    </row>
    <row r="206" spans="32:32" ht="11.45" customHeight="1">
      <c r="AF206" s="258">
        <v>11</v>
      </c>
    </row>
    <row r="207" spans="32:32" ht="11.45" customHeight="1">
      <c r="AF207" s="258">
        <v>11</v>
      </c>
    </row>
    <row r="208" spans="32:32" ht="11.45" customHeight="1">
      <c r="AF208" s="258">
        <v>11</v>
      </c>
    </row>
    <row r="209" spans="32:32" ht="11.45" customHeight="1">
      <c r="AF209" s="258">
        <v>11</v>
      </c>
    </row>
    <row r="210" spans="32:32" ht="11.45" customHeight="1">
      <c r="AF210" s="258">
        <v>11</v>
      </c>
    </row>
    <row r="211" spans="32:32" ht="11.45" customHeight="1">
      <c r="AF211" s="258">
        <v>11</v>
      </c>
    </row>
    <row r="212" spans="32:32" ht="11.45" customHeight="1">
      <c r="AF212" s="258">
        <v>11</v>
      </c>
    </row>
    <row r="213" spans="32:32" ht="11.45" customHeight="1">
      <c r="AF213" s="258">
        <v>11</v>
      </c>
    </row>
    <row r="214" spans="32:32" ht="11.45" customHeight="1">
      <c r="AF214" s="258">
        <v>11</v>
      </c>
    </row>
    <row r="215" spans="32:32" ht="11.45" customHeight="1">
      <c r="AF215" s="258">
        <v>11</v>
      </c>
    </row>
    <row r="216" spans="32:32" ht="11.45" customHeight="1">
      <c r="AF216" s="258">
        <v>11</v>
      </c>
    </row>
    <row r="217" spans="32:32" ht="11.45" customHeight="1">
      <c r="AF217" s="258">
        <v>11</v>
      </c>
    </row>
    <row r="218" spans="32:32" ht="11.45" customHeight="1">
      <c r="AF218" s="258">
        <v>11</v>
      </c>
    </row>
    <row r="219" spans="32:32" ht="11.45" customHeight="1">
      <c r="AF219" s="258">
        <v>11</v>
      </c>
    </row>
    <row r="220" spans="32:32" ht="11.45" customHeight="1">
      <c r="AF220" s="258">
        <v>11</v>
      </c>
    </row>
    <row r="221" spans="32:32" ht="11.45" customHeight="1">
      <c r="AF221" s="258">
        <v>11</v>
      </c>
    </row>
    <row r="222" spans="32:32" ht="11.45" customHeight="1">
      <c r="AF222" s="258">
        <v>11</v>
      </c>
    </row>
    <row r="223" spans="32:32" ht="11.45" customHeight="1">
      <c r="AF223" s="258">
        <v>11</v>
      </c>
    </row>
    <row r="224" spans="32:32" ht="11.45" customHeight="1">
      <c r="AF224" s="258">
        <v>11</v>
      </c>
    </row>
    <row r="225" spans="32:32" ht="11.45" customHeight="1">
      <c r="AF225" s="258">
        <v>11</v>
      </c>
    </row>
    <row r="226" spans="32:32" ht="11.45" customHeight="1">
      <c r="AF226" s="258">
        <v>11</v>
      </c>
    </row>
    <row r="227" spans="32:32" ht="11.45" customHeight="1">
      <c r="AF227" s="258">
        <v>11</v>
      </c>
    </row>
    <row r="228" spans="32:32" ht="11.45" customHeight="1">
      <c r="AF228" s="258">
        <v>11</v>
      </c>
    </row>
    <row r="229" spans="32:32" ht="11.45" customHeight="1">
      <c r="AF229" s="258">
        <v>11</v>
      </c>
    </row>
    <row r="230" spans="32:32" ht="11.45" customHeight="1">
      <c r="AF230" s="258">
        <v>11</v>
      </c>
    </row>
    <row r="231" spans="32:32" ht="11.45" customHeight="1">
      <c r="AF231" s="258">
        <v>11</v>
      </c>
    </row>
    <row r="232" spans="32:32" ht="11.45" customHeight="1">
      <c r="AF232" s="258">
        <v>11</v>
      </c>
    </row>
    <row r="233" spans="32:32" ht="11.45" customHeight="1">
      <c r="AF233" s="258">
        <v>11</v>
      </c>
    </row>
    <row r="234" spans="32:32" ht="11.45" customHeight="1">
      <c r="AF234" s="258">
        <v>11</v>
      </c>
    </row>
    <row r="235" spans="32:32" ht="11.45" customHeight="1">
      <c r="AF235" s="258">
        <v>11</v>
      </c>
    </row>
    <row r="236" spans="32:32" ht="11.45" customHeight="1">
      <c r="AF236" s="258">
        <v>11</v>
      </c>
    </row>
    <row r="237" spans="32:32" ht="11.45" customHeight="1">
      <c r="AF237" s="258">
        <v>11</v>
      </c>
    </row>
    <row r="238" spans="32:32" ht="11.45" customHeight="1">
      <c r="AF238" s="258">
        <v>11</v>
      </c>
    </row>
    <row r="239" spans="32:32" ht="11.45" customHeight="1">
      <c r="AF239" s="258">
        <v>11</v>
      </c>
    </row>
    <row r="240" spans="32:32" ht="11.45" customHeight="1">
      <c r="AF240" s="258">
        <v>11</v>
      </c>
    </row>
    <row r="241" spans="32:32" ht="11.45" customHeight="1">
      <c r="AF241" s="258">
        <v>11</v>
      </c>
    </row>
    <row r="242" spans="32:32" ht="11.45" customHeight="1">
      <c r="AF242" s="258">
        <v>11</v>
      </c>
    </row>
    <row r="243" spans="32:32" ht="11.45" customHeight="1">
      <c r="AF243" s="258">
        <v>11</v>
      </c>
    </row>
    <row r="244" spans="32:32" ht="11.45" customHeight="1">
      <c r="AF244" s="258">
        <v>11</v>
      </c>
    </row>
    <row r="245" spans="32:32" ht="11.45" customHeight="1">
      <c r="AF245" s="258">
        <v>11</v>
      </c>
    </row>
    <row r="246" spans="32:32" ht="11.45" customHeight="1">
      <c r="AF246" s="258">
        <v>11</v>
      </c>
    </row>
    <row r="247" spans="32:32" ht="11.45" customHeight="1">
      <c r="AF247" s="258">
        <v>11</v>
      </c>
    </row>
    <row r="248" spans="32:32" ht="11.45" customHeight="1">
      <c r="AF248" s="258">
        <v>11</v>
      </c>
    </row>
    <row r="249" spans="32:32" ht="11.45" customHeight="1">
      <c r="AF249" s="258">
        <v>11</v>
      </c>
    </row>
    <row r="250" spans="32:32" ht="11.45" customHeight="1">
      <c r="AF250" s="258">
        <v>11</v>
      </c>
    </row>
    <row r="251" spans="32:32" ht="11.45" customHeight="1">
      <c r="AF251" s="258">
        <v>11</v>
      </c>
    </row>
    <row r="252" spans="32:32" ht="11.45" customHeight="1">
      <c r="AF252" s="258">
        <v>11</v>
      </c>
    </row>
    <row r="253" spans="32:32" ht="11.45" customHeight="1">
      <c r="AF253" s="258">
        <v>11</v>
      </c>
    </row>
    <row r="254" spans="32:32" ht="11.45" customHeight="1">
      <c r="AF254" s="258">
        <v>11</v>
      </c>
    </row>
    <row r="255" spans="32:32" ht="11.45" customHeight="1">
      <c r="AF255" s="258">
        <v>11</v>
      </c>
    </row>
    <row r="256" spans="32:32" ht="11.45" customHeight="1">
      <c r="AF256" s="258">
        <v>11</v>
      </c>
    </row>
    <row r="257" spans="32:32" ht="11.45" customHeight="1">
      <c r="AF257" s="258">
        <v>11</v>
      </c>
    </row>
    <row r="258" spans="32:32" ht="11.45" customHeight="1">
      <c r="AF258" s="258">
        <v>11</v>
      </c>
    </row>
    <row r="259" spans="32:32" ht="11.45" customHeight="1">
      <c r="AF259" s="258">
        <v>11</v>
      </c>
    </row>
    <row r="260" spans="32:32" ht="11.45" customHeight="1">
      <c r="AF260" s="258">
        <v>11</v>
      </c>
    </row>
    <row r="261" spans="32:32" ht="11.45" customHeight="1">
      <c r="AF261" s="258">
        <v>11</v>
      </c>
    </row>
    <row r="262" spans="32:32" ht="11.45" customHeight="1">
      <c r="AF262" s="258">
        <v>11</v>
      </c>
    </row>
    <row r="263" spans="32:32" ht="11.45" customHeight="1">
      <c r="AF263" s="258">
        <v>11</v>
      </c>
    </row>
    <row r="264" spans="32:32" ht="11.45" customHeight="1">
      <c r="AF264" s="258">
        <v>11</v>
      </c>
    </row>
    <row r="265" spans="32:32" ht="11.45" customHeight="1">
      <c r="AF265" s="258">
        <v>11</v>
      </c>
    </row>
    <row r="266" spans="32:32" ht="11.45" customHeight="1">
      <c r="AF266" s="258">
        <v>11</v>
      </c>
    </row>
    <row r="267" spans="32:32" ht="11.45" customHeight="1">
      <c r="AF267" s="258">
        <v>11</v>
      </c>
    </row>
    <row r="268" spans="32:32" ht="11.45" customHeight="1">
      <c r="AF268" s="258">
        <v>11</v>
      </c>
    </row>
    <row r="269" spans="32:32" ht="11.45" customHeight="1">
      <c r="AF269" s="258">
        <v>11</v>
      </c>
    </row>
    <row r="270" spans="32:32" ht="11.45" customHeight="1">
      <c r="AF270" s="258">
        <v>11</v>
      </c>
    </row>
    <row r="271" spans="32:32" ht="11.45" customHeight="1">
      <c r="AF271" s="258">
        <v>11</v>
      </c>
    </row>
    <row r="272" spans="32:32" ht="11.45" customHeight="1">
      <c r="AF272" s="258">
        <v>11</v>
      </c>
    </row>
    <row r="273" spans="32:32" ht="11.45" customHeight="1">
      <c r="AF273" s="258">
        <v>11</v>
      </c>
    </row>
    <row r="274" spans="32:32" ht="11.45" customHeight="1">
      <c r="AF274" s="258">
        <v>11</v>
      </c>
    </row>
    <row r="275" spans="32:32" ht="11.45" customHeight="1">
      <c r="AF275" s="258">
        <v>11</v>
      </c>
    </row>
    <row r="276" spans="32:32" ht="11.45" customHeight="1">
      <c r="AF276" s="258">
        <v>11</v>
      </c>
    </row>
    <row r="277" spans="32:32" ht="11.45" customHeight="1">
      <c r="AF277" s="258">
        <v>11</v>
      </c>
    </row>
    <row r="278" spans="32:32" ht="11.45" customHeight="1">
      <c r="AF278" s="258">
        <v>11</v>
      </c>
    </row>
    <row r="279" spans="32:32" ht="11.45" customHeight="1">
      <c r="AF279" s="258">
        <v>11</v>
      </c>
    </row>
    <row r="280" spans="32:32" ht="11.45" customHeight="1">
      <c r="AF280" s="258">
        <v>11</v>
      </c>
    </row>
    <row r="281" spans="32:32" ht="11.45" customHeight="1">
      <c r="AF281" s="258">
        <v>11</v>
      </c>
    </row>
    <row r="282" spans="32:32" ht="11.45" customHeight="1">
      <c r="AF282" s="258">
        <v>11</v>
      </c>
    </row>
    <row r="283" spans="32:32" ht="11.45" customHeight="1">
      <c r="AF283" s="258">
        <v>11</v>
      </c>
    </row>
    <row r="284" spans="32:32" ht="11.45" customHeight="1">
      <c r="AF284" s="258">
        <v>11</v>
      </c>
    </row>
    <row r="285" spans="32:32" ht="11.45" customHeight="1">
      <c r="AF285" s="258">
        <v>11</v>
      </c>
    </row>
    <row r="286" spans="32:32" ht="11.45" customHeight="1">
      <c r="AF286" s="258">
        <v>11</v>
      </c>
    </row>
    <row r="287" spans="32:32" ht="11.45" customHeight="1">
      <c r="AF287" s="258">
        <v>11</v>
      </c>
    </row>
    <row r="288" spans="32:32" ht="11.45" customHeight="1">
      <c r="AF288" s="258">
        <v>11</v>
      </c>
    </row>
    <row r="289" spans="1:32" ht="11.45" customHeight="1">
      <c r="AF289" s="17">
        <v>11</v>
      </c>
    </row>
    <row r="290" spans="1:32" ht="11.45" customHeight="1">
      <c r="AF290" s="17">
        <v>11</v>
      </c>
    </row>
    <row r="291" spans="1:32" ht="11.45" customHeight="1">
      <c r="AF291" s="17">
        <v>11</v>
      </c>
    </row>
    <row r="292" spans="1:32" ht="11.45" customHeight="1">
      <c r="AF292" s="17">
        <v>11</v>
      </c>
    </row>
    <row r="293" spans="1:32" ht="11.45" customHeight="1">
      <c r="AF293" s="17">
        <v>11</v>
      </c>
    </row>
    <row r="294" spans="1:32" ht="11.45" customHeight="1">
      <c r="AF294" s="17">
        <v>11</v>
      </c>
    </row>
    <row r="295" spans="1:32" ht="11.45" customHeight="1">
      <c r="AF295" s="17">
        <v>11</v>
      </c>
    </row>
    <row r="296" spans="1:32" ht="11.45" customHeight="1">
      <c r="AF296" s="17">
        <v>11</v>
      </c>
    </row>
    <row r="297" spans="1:32" ht="11.45" customHeight="1">
      <c r="AF297" s="17">
        <v>11</v>
      </c>
    </row>
    <row r="298" spans="1:32" ht="11.45" customHeight="1">
      <c r="AF298" s="17">
        <v>11</v>
      </c>
    </row>
    <row r="299" spans="1:32" ht="11.45" customHeight="1">
      <c r="AF299" s="17">
        <v>11</v>
      </c>
    </row>
    <row r="300" spans="1:32" ht="11.45" customHeight="1">
      <c r="AF300" s="17">
        <v>11</v>
      </c>
    </row>
    <row r="301" spans="1:32" ht="11.45" customHeight="1">
      <c r="AF301" s="17">
        <v>11</v>
      </c>
    </row>
    <row r="302" spans="1:32" ht="11.45" customHeight="1">
      <c r="AF302" s="17">
        <v>11</v>
      </c>
    </row>
    <row r="303" spans="1:32" ht="11.25" hidden="1" customHeight="1">
      <c r="A303" s="492" t="s">
        <v>82</v>
      </c>
      <c r="B303" s="37">
        <v>0</v>
      </c>
      <c r="C303" s="75">
        <v>0</v>
      </c>
      <c r="D303" s="17">
        <v>3</v>
      </c>
      <c r="E303" s="17">
        <v>7</v>
      </c>
      <c r="F303" s="17">
        <v>54</v>
      </c>
      <c r="G303" s="17">
        <v>10</v>
      </c>
      <c r="H303" s="17">
        <v>0</v>
      </c>
      <c r="I303" s="17">
        <v>40</v>
      </c>
      <c r="J303" s="17">
        <v>102</v>
      </c>
      <c r="K303" s="37">
        <v>9</v>
      </c>
      <c r="L303" s="75">
        <v>5</v>
      </c>
      <c r="M303" s="75">
        <v>3</v>
      </c>
      <c r="N303" s="37">
        <v>3</v>
      </c>
      <c r="O303" s="37">
        <v>3</v>
      </c>
      <c r="P303" s="37">
        <v>3</v>
      </c>
      <c r="Q303" s="37">
        <v>3</v>
      </c>
      <c r="R303" s="75">
        <v>10</v>
      </c>
      <c r="S303" s="37">
        <v>34</v>
      </c>
      <c r="T303" s="37">
        <v>9</v>
      </c>
      <c r="U303" s="493">
        <v>8</v>
      </c>
      <c r="V303" s="37">
        <v>8</v>
      </c>
      <c r="W303" s="37">
        <v>8</v>
      </c>
      <c r="X303" s="37">
        <v>8</v>
      </c>
      <c r="Y303" s="37">
        <v>8</v>
      </c>
      <c r="Z303" s="37">
        <v>8</v>
      </c>
      <c r="AA303" s="15">
        <v>8</v>
      </c>
      <c r="AB303" s="15">
        <v>8</v>
      </c>
      <c r="AC303" s="15">
        <v>8</v>
      </c>
      <c r="AD303" s="15">
        <v>8</v>
      </c>
      <c r="AE303" s="15">
        <v>8</v>
      </c>
      <c r="AF303" s="1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DB38-8C5D-23BC-0156-B7D5B234F747}">
  <sheetPr>
    <tabColor theme="9" tint="-0.249977111117893"/>
  </sheetPr>
  <dimension ref="A1:CF29"/>
  <sheetViews>
    <sheetView showGridLines="0" topLeftCell="C4" zoomScale="90" workbookViewId="0"/>
  </sheetViews>
  <sheetFormatPr defaultColWidth="9.140625" defaultRowHeight="11.25" customHeight="1"/>
  <cols>
    <col min="1" max="1" width="14.7109375" hidden="1" customWidth="1"/>
    <col min="2" max="2" width="17" hidden="1" customWidth="1"/>
    <col min="3" max="3" width="3" customWidth="1"/>
    <col min="4" max="4" width="1.85546875" hidden="1" customWidth="1"/>
    <col min="5" max="6" width="7" customWidth="1"/>
    <col min="7" max="7" width="29" customWidth="1"/>
    <col min="8" max="8" width="3.7109375" customWidth="1"/>
    <col min="9" max="9" width="5" customWidth="1"/>
    <col min="10" max="11" width="24" customWidth="1"/>
    <col min="12" max="12" width="3" customWidth="1"/>
    <col min="13" max="13" width="6" customWidth="1"/>
    <col min="14" max="14" width="25" customWidth="1"/>
    <col min="15" max="18" width="18" customWidth="1"/>
    <col min="19" max="19" width="93" customWidth="1"/>
    <col min="20" max="21" width="10" customWidth="1"/>
    <col min="22" max="22" width="11" customWidth="1"/>
    <col min="23" max="27" width="10" customWidth="1"/>
    <col min="28" max="83" width="8" customWidth="1"/>
    <col min="84" max="84" width="9.140625" hidden="1"/>
  </cols>
  <sheetData>
    <row r="1" spans="1:84" ht="22.5" hidden="1" customHeight="1">
      <c r="CF1" s="17" t="s">
        <v>14</v>
      </c>
    </row>
    <row r="2" spans="1:84" ht="11.25" hidden="1" customHeight="1">
      <c r="CF2" s="17">
        <v>0</v>
      </c>
    </row>
    <row r="3" spans="1:84" ht="11.25" hidden="1" customHeight="1">
      <c r="CF3" s="17">
        <v>0</v>
      </c>
    </row>
    <row r="4" spans="1:84" ht="3" customHeight="1">
      <c r="CF4" s="17">
        <v>3</v>
      </c>
    </row>
    <row r="5" spans="1:84" ht="29.25" customHeight="1">
      <c r="D5" s="494"/>
      <c r="E5" s="1093" t="str">
        <f>FHD20_NAME_FORM</f>
        <v>Форма 11. Информация о расходах на капитальный и текущий ремонт основных средств</v>
      </c>
      <c r="F5" s="1093"/>
      <c r="G5" s="1093"/>
      <c r="H5" s="1093"/>
      <c r="I5" s="1093"/>
      <c r="J5" s="1093"/>
      <c r="K5" s="1093"/>
      <c r="CF5" s="17">
        <v>28</v>
      </c>
    </row>
    <row r="6" spans="1:84" ht="16.899999999999999" customHeight="1">
      <c r="D6" s="495"/>
      <c r="E6" s="1066" t="str">
        <f>IF(org=0,"Не определено",org)</f>
        <v>ООО "ТВС"</v>
      </c>
      <c r="F6" s="1066"/>
      <c r="G6" s="1066"/>
      <c r="H6" s="1066"/>
      <c r="I6" s="1066"/>
      <c r="J6" s="1066"/>
      <c r="K6" s="1066"/>
      <c r="CF6" s="17">
        <v>16</v>
      </c>
    </row>
    <row r="7" spans="1:84" ht="11.45" customHeight="1">
      <c r="R7" s="184"/>
      <c r="CF7" s="17">
        <v>11</v>
      </c>
    </row>
    <row r="8" spans="1:84" ht="4.1500000000000004" customHeight="1">
      <c r="R8" s="496"/>
      <c r="CF8" s="258">
        <v>4</v>
      </c>
    </row>
    <row r="9" spans="1:84" ht="19.899999999999999" customHeight="1">
      <c r="D9" s="296"/>
      <c r="E9" s="977" t="s">
        <v>301</v>
      </c>
      <c r="F9" s="982"/>
      <c r="G9" s="982"/>
      <c r="H9" s="982"/>
      <c r="I9" s="982"/>
      <c r="J9" s="982"/>
      <c r="K9" s="982"/>
      <c r="L9" s="982"/>
      <c r="M9" s="982"/>
      <c r="N9" s="982"/>
      <c r="O9" s="982"/>
      <c r="P9" s="982"/>
      <c r="Q9" s="982"/>
      <c r="R9" s="976"/>
      <c r="S9" s="995" t="s">
        <v>302</v>
      </c>
      <c r="CF9" s="17">
        <v>19</v>
      </c>
    </row>
    <row r="10" spans="1:84" ht="48.2" customHeight="1">
      <c r="D10" s="89" t="s">
        <v>88</v>
      </c>
      <c r="E10" s="995" t="s">
        <v>88</v>
      </c>
      <c r="F10" s="995"/>
      <c r="G10" s="88" t="s">
        <v>303</v>
      </c>
      <c r="H10" s="995" t="s">
        <v>88</v>
      </c>
      <c r="I10" s="995"/>
      <c r="J10" s="88" t="s">
        <v>603</v>
      </c>
      <c r="K10" s="88" t="s">
        <v>604</v>
      </c>
      <c r="L10" s="995" t="s">
        <v>88</v>
      </c>
      <c r="M10" s="995"/>
      <c r="N10" s="88" t="s">
        <v>605</v>
      </c>
      <c r="O10" s="88" t="s">
        <v>606</v>
      </c>
      <c r="P10" s="88" t="s">
        <v>607</v>
      </c>
      <c r="Q10" s="88" t="s">
        <v>608</v>
      </c>
      <c r="R10" s="88" t="s">
        <v>609</v>
      </c>
      <c r="S10" s="995"/>
      <c r="CF10" s="17">
        <v>46</v>
      </c>
    </row>
    <row r="11" spans="1:84" ht="15" hidden="1" customHeight="1">
      <c r="D11" s="411" t="s">
        <v>110</v>
      </c>
      <c r="F11" s="411" t="s">
        <v>111</v>
      </c>
      <c r="G11" s="411" t="s">
        <v>90</v>
      </c>
      <c r="I11" s="411" t="s">
        <v>91</v>
      </c>
      <c r="J11" s="411" t="s">
        <v>112</v>
      </c>
      <c r="K11" s="411" t="s">
        <v>92</v>
      </c>
      <c r="M11" s="411" t="s">
        <v>93</v>
      </c>
      <c r="N11" s="411" t="s">
        <v>113</v>
      </c>
      <c r="O11" s="411" t="s">
        <v>151</v>
      </c>
      <c r="P11" s="411" t="s">
        <v>152</v>
      </c>
      <c r="Q11" s="411" t="s">
        <v>153</v>
      </c>
      <c r="R11" s="411" t="s">
        <v>154</v>
      </c>
      <c r="S11" s="411" t="s">
        <v>155</v>
      </c>
      <c r="CF11" s="75">
        <v>0</v>
      </c>
    </row>
    <row r="12" spans="1:84" ht="1.1499999999999999" customHeight="1">
      <c r="CF12" s="17">
        <v>1</v>
      </c>
    </row>
    <row r="13" spans="1:84" ht="1.1499999999999999" customHeight="1">
      <c r="D13" s="411" t="s">
        <v>377</v>
      </c>
      <c r="CF13" s="258">
        <v>1</v>
      </c>
    </row>
    <row r="14" spans="1:84" ht="15" hidden="1" customHeight="1">
      <c r="A14" s="497" t="s">
        <v>119</v>
      </c>
      <c r="D14" s="1201" t="s">
        <v>110</v>
      </c>
      <c r="E14" s="1206" t="s">
        <v>106</v>
      </c>
      <c r="F14" s="1207"/>
      <c r="G14" s="1208"/>
      <c r="H14" s="1204" t="str">
        <f>IF(A14="","",INDEX(DIFFERENTIATION_UNMERGE_VD,MATCH(A14,DIFFERENTIATION_ID_DIFF,0)))</f>
        <v>Подключение (технологическое присоединение) к системе теплоснабжения</v>
      </c>
      <c r="I14" s="1204"/>
      <c r="J14" s="1204"/>
      <c r="K14" s="1204"/>
      <c r="L14" s="1204"/>
      <c r="M14" s="1204"/>
      <c r="N14" s="1204"/>
      <c r="O14" s="1204"/>
      <c r="P14" s="1204"/>
      <c r="Q14" s="1204"/>
      <c r="R14" s="1204"/>
      <c r="S14" s="498"/>
      <c r="T14" s="499"/>
      <c r="AC14" s="964"/>
      <c r="AE14" t="s">
        <v>22</v>
      </c>
      <c r="AG14" s="500" t="s">
        <v>610</v>
      </c>
      <c r="AH14" s="501">
        <v>3</v>
      </c>
      <c r="CF14" s="97">
        <v>0</v>
      </c>
    </row>
    <row r="15" spans="1:84" ht="15" hidden="1" customHeight="1">
      <c r="D15" s="1202"/>
      <c r="E15" s="1206" t="s">
        <v>565</v>
      </c>
      <c r="F15" s="1207"/>
      <c r="G15" s="1208"/>
      <c r="H15" s="1204" t="str">
        <f>IF(A14="","",INDEX(DIFFERENTIATION_UNMERGE_AREA,MATCH(A14,DIFFERENTIATION_ID_DIFF,0)))</f>
        <v>Территория 1</v>
      </c>
      <c r="I15" s="1204"/>
      <c r="J15" s="1204"/>
      <c r="K15" s="1204"/>
      <c r="L15" s="1204"/>
      <c r="M15" s="1204"/>
      <c r="N15" s="1204"/>
      <c r="O15" s="1204"/>
      <c r="P15" s="1204"/>
      <c r="Q15" s="1204"/>
      <c r="R15" s="1204"/>
      <c r="S15" s="498"/>
      <c r="T15" s="499"/>
      <c r="AC15" s="964"/>
      <c r="CF15" s="97">
        <v>0</v>
      </c>
    </row>
    <row r="16" spans="1:84" ht="15" hidden="1" customHeight="1">
      <c r="D16" s="1202"/>
      <c r="E16" s="1206" t="s">
        <v>566</v>
      </c>
      <c r="F16" s="1207"/>
      <c r="G16" s="1208"/>
      <c r="H16" s="1204" t="str">
        <f>IF(A14="","",INDEX(DIFFERENTIATION_UNMERGE_SYSTEM,MATCH(A14,DIFFERENTIATION_ID_DIFF,0)))</f>
        <v>в зоне поставки котельной, расположенной по адресу: г. Москва, поселение Московский, Передельцевский проезд, стр.2</v>
      </c>
      <c r="I16" s="1204"/>
      <c r="J16" s="1204"/>
      <c r="K16" s="1204"/>
      <c r="L16" s="1204"/>
      <c r="M16" s="1204"/>
      <c r="N16" s="1204"/>
      <c r="O16" s="1204"/>
      <c r="P16" s="1204"/>
      <c r="Q16" s="1204"/>
      <c r="R16" s="1204"/>
      <c r="S16" s="498"/>
      <c r="T16" s="499"/>
      <c r="AC16" s="964"/>
      <c r="CF16" s="97">
        <v>0</v>
      </c>
    </row>
    <row r="17" spans="1:84" ht="22.5" hidden="1" customHeight="1">
      <c r="D17" s="1202"/>
      <c r="E17" s="1205" t="s">
        <v>611</v>
      </c>
      <c r="F17" s="1205"/>
      <c r="G17" s="1205"/>
      <c r="H17" s="1205"/>
      <c r="I17" s="1205"/>
      <c r="J17" s="1205"/>
      <c r="K17" s="1205"/>
      <c r="L17" s="1205"/>
      <c r="M17" s="1205"/>
      <c r="N17" s="1205"/>
      <c r="O17" s="1205"/>
      <c r="P17" s="1205"/>
      <c r="Q17" s="454">
        <f>SUMIF(T18:T19,"i",Q18:Q19)</f>
        <v>0</v>
      </c>
      <c r="R17" s="503"/>
      <c r="S17" s="165" t="s">
        <v>612</v>
      </c>
      <c r="T17" s="499" t="s">
        <v>613</v>
      </c>
      <c r="U17" s="1115">
        <v>1</v>
      </c>
      <c r="V17" s="1115" t="str">
        <f>INDEX(B_FHD_FLAG_INDEX_1,1,MATCH(A14,B_FHD_FLAG_DIFFERENTIATION,0))</f>
        <v>отсутствует</v>
      </c>
      <c r="AC17" s="964"/>
      <c r="CF17" s="97">
        <v>0</v>
      </c>
    </row>
    <row r="18" spans="1:84" ht="11.25" hidden="1" customHeight="1">
      <c r="D18" s="1202"/>
      <c r="E18" s="193"/>
      <c r="F18" s="193">
        <v>0</v>
      </c>
      <c r="G18" s="193"/>
      <c r="H18" s="193"/>
      <c r="I18" s="193"/>
      <c r="J18" s="193"/>
      <c r="K18" s="193"/>
      <c r="L18" s="193"/>
      <c r="M18" s="193"/>
      <c r="N18" s="193"/>
      <c r="O18" s="193"/>
      <c r="P18" s="193"/>
      <c r="Q18" s="193"/>
      <c r="R18" s="193"/>
      <c r="S18" s="192"/>
      <c r="T18" s="504"/>
      <c r="U18" s="964"/>
      <c r="V18" s="964"/>
      <c r="AC18" s="964"/>
      <c r="CF18" s="97">
        <v>0</v>
      </c>
    </row>
    <row r="19" spans="1:84" ht="11.25" hidden="1" customHeight="1">
      <c r="D19" s="1202"/>
      <c r="E19" s="403" t="s">
        <v>22</v>
      </c>
      <c r="F19" s="100" t="s">
        <v>22</v>
      </c>
      <c r="G19" s="100" t="s">
        <v>22</v>
      </c>
      <c r="H19" s="105" t="s">
        <v>22</v>
      </c>
      <c r="I19" s="105"/>
      <c r="J19" s="105"/>
      <c r="K19" s="105"/>
      <c r="L19" s="105"/>
      <c r="M19" s="105"/>
      <c r="N19" s="105"/>
      <c r="O19" s="105"/>
      <c r="P19" s="105"/>
      <c r="Q19" s="105"/>
      <c r="R19" s="127"/>
      <c r="S19" s="502"/>
      <c r="T19" s="504"/>
      <c r="U19" s="964"/>
      <c r="V19" s="964"/>
      <c r="AC19" s="964"/>
      <c r="CF19" s="97">
        <v>0</v>
      </c>
    </row>
    <row r="20" spans="1:84" ht="22.5" hidden="1" customHeight="1">
      <c r="D20" s="1202"/>
      <c r="E20" s="1205" t="s">
        <v>614</v>
      </c>
      <c r="F20" s="1205"/>
      <c r="G20" s="1205"/>
      <c r="H20" s="1205"/>
      <c r="I20" s="1205"/>
      <c r="J20" s="1205"/>
      <c r="K20" s="1205"/>
      <c r="L20" s="1205"/>
      <c r="M20" s="1205"/>
      <c r="N20" s="1205"/>
      <c r="O20" s="1205"/>
      <c r="P20" s="1205"/>
      <c r="Q20" s="454">
        <f>SUMIF(T21:T22,"i",Q21:Q22)</f>
        <v>0</v>
      </c>
      <c r="R20" s="503"/>
      <c r="S20" s="165" t="s">
        <v>615</v>
      </c>
      <c r="T20" s="499" t="s">
        <v>613</v>
      </c>
      <c r="U20" s="1115">
        <v>2</v>
      </c>
      <c r="V20" s="1115" t="str">
        <f>INDEX(B_FHD_FLAG_INDEX_2,1,MATCH(A14,B_FHD_FLAG_DIFFERENTIATION,0))</f>
        <v>отсутствует</v>
      </c>
      <c r="CF20" s="97">
        <v>0</v>
      </c>
    </row>
    <row r="21" spans="1:84" ht="11.25" hidden="1" customHeight="1">
      <c r="D21" s="1202"/>
      <c r="E21" s="193"/>
      <c r="F21" s="193">
        <v>0</v>
      </c>
      <c r="G21" s="193"/>
      <c r="H21" s="193"/>
      <c r="I21" s="193"/>
      <c r="J21" s="193"/>
      <c r="K21" s="193"/>
      <c r="L21" s="193"/>
      <c r="M21" s="193"/>
      <c r="N21" s="193"/>
      <c r="O21" s="193"/>
      <c r="P21" s="193"/>
      <c r="Q21" s="193"/>
      <c r="R21" s="193"/>
      <c r="S21" s="192"/>
      <c r="T21" s="504"/>
      <c r="U21" s="964"/>
      <c r="V21" s="964"/>
      <c r="CF21" s="97">
        <v>0</v>
      </c>
    </row>
    <row r="22" spans="1:84" ht="11.25" hidden="1" customHeight="1">
      <c r="D22" s="1203"/>
      <c r="E22" s="403" t="s">
        <v>22</v>
      </c>
      <c r="F22" s="100" t="s">
        <v>22</v>
      </c>
      <c r="G22" s="100" t="s">
        <v>22</v>
      </c>
      <c r="H22" s="105" t="s">
        <v>22</v>
      </c>
      <c r="I22" s="105"/>
      <c r="J22" s="105"/>
      <c r="K22" s="105"/>
      <c r="L22" s="105"/>
      <c r="M22" s="105"/>
      <c r="N22" s="105"/>
      <c r="O22" s="105"/>
      <c r="P22" s="105"/>
      <c r="Q22" s="105"/>
      <c r="R22" s="127"/>
      <c r="S22" s="502"/>
      <c r="T22" s="504"/>
      <c r="U22" s="964"/>
      <c r="V22" s="964"/>
      <c r="CF22" s="97">
        <v>0</v>
      </c>
    </row>
    <row r="23" spans="1:84" ht="19.899999999999999" customHeight="1">
      <c r="D23" s="505"/>
      <c r="E23" s="505"/>
      <c r="F23" s="505"/>
      <c r="G23" s="505"/>
      <c r="H23" s="505"/>
      <c r="I23" s="505"/>
      <c r="J23" s="505"/>
      <c r="K23" s="505"/>
      <c r="L23" s="505"/>
      <c r="M23" s="505"/>
      <c r="N23" s="505"/>
      <c r="O23" s="505"/>
      <c r="P23" s="505"/>
      <c r="Q23" s="505"/>
      <c r="R23" s="505"/>
      <c r="S23" s="505"/>
      <c r="CF23" s="17">
        <v>19</v>
      </c>
    </row>
    <row r="24" spans="1:84" ht="11.45" customHeight="1">
      <c r="CF24" s="17">
        <v>11</v>
      </c>
    </row>
    <row r="25" spans="1:84" ht="11.45" customHeight="1">
      <c r="CF25" s="17">
        <v>11</v>
      </c>
    </row>
    <row r="26" spans="1:84" ht="11.45" customHeight="1">
      <c r="CF26" s="17">
        <v>11</v>
      </c>
    </row>
    <row r="27" spans="1:84" ht="11.45" customHeight="1">
      <c r="E27" s="964"/>
      <c r="F27" s="964"/>
      <c r="G27" s="964"/>
      <c r="H27" s="964"/>
      <c r="I27" s="964"/>
      <c r="J27" s="964"/>
      <c r="K27" s="964"/>
      <c r="L27" s="964"/>
      <c r="M27" s="964"/>
      <c r="N27" s="964"/>
      <c r="O27" s="964"/>
      <c r="P27" s="964"/>
      <c r="Q27" s="964"/>
      <c r="R27" s="964"/>
      <c r="CF27" s="17">
        <v>11</v>
      </c>
    </row>
    <row r="28" spans="1:84" ht="11.45" customHeight="1">
      <c r="CF28" s="17">
        <v>11</v>
      </c>
    </row>
    <row r="29" spans="1:84" ht="11.25" hidden="1" customHeight="1">
      <c r="A29" s="506" t="s">
        <v>82</v>
      </c>
      <c r="B29" s="15">
        <v>0</v>
      </c>
      <c r="C29" s="17">
        <v>3</v>
      </c>
      <c r="D29" s="17">
        <v>0</v>
      </c>
      <c r="E29" s="17">
        <v>7</v>
      </c>
      <c r="F29" s="17">
        <v>7</v>
      </c>
      <c r="G29" s="17">
        <v>29</v>
      </c>
      <c r="H29" s="17">
        <v>3</v>
      </c>
      <c r="I29" s="17">
        <v>5</v>
      </c>
      <c r="J29" s="17">
        <v>24</v>
      </c>
      <c r="K29" s="17">
        <v>24</v>
      </c>
      <c r="L29" s="17">
        <v>3</v>
      </c>
      <c r="M29" s="17">
        <v>6</v>
      </c>
      <c r="N29" s="17">
        <v>25</v>
      </c>
      <c r="O29" s="17">
        <v>18</v>
      </c>
      <c r="P29" s="17">
        <v>18</v>
      </c>
      <c r="Q29" s="17">
        <v>18</v>
      </c>
      <c r="R29" s="17">
        <v>18</v>
      </c>
      <c r="S29" s="17">
        <v>93</v>
      </c>
      <c r="T29" s="17">
        <v>10</v>
      </c>
      <c r="U29" s="75">
        <v>10</v>
      </c>
      <c r="V29" s="75">
        <v>11</v>
      </c>
      <c r="W29" s="15">
        <v>10</v>
      </c>
      <c r="X29" s="15">
        <v>10</v>
      </c>
      <c r="Y29" s="15">
        <v>10</v>
      </c>
      <c r="Z29" s="15">
        <v>10</v>
      </c>
      <c r="AA29" s="15">
        <v>10</v>
      </c>
      <c r="AB29" s="17">
        <v>8</v>
      </c>
      <c r="AC29" s="17">
        <v>8</v>
      </c>
      <c r="AD29" s="17">
        <v>8</v>
      </c>
      <c r="AE29" s="17">
        <v>8</v>
      </c>
      <c r="AF29" s="17">
        <v>8</v>
      </c>
      <c r="AG29" s="17">
        <v>8</v>
      </c>
      <c r="AH29" s="17">
        <v>8</v>
      </c>
      <c r="AI29" s="17">
        <v>8</v>
      </c>
      <c r="AJ29" s="17">
        <v>8</v>
      </c>
      <c r="AK29" s="17">
        <v>8</v>
      </c>
      <c r="AL29" s="17">
        <v>8</v>
      </c>
      <c r="AM29" s="17">
        <v>8</v>
      </c>
      <c r="AN29" s="17">
        <v>8</v>
      </c>
      <c r="AO29" s="17">
        <v>8</v>
      </c>
      <c r="AP29" s="17">
        <v>8</v>
      </c>
      <c r="AQ29" s="17">
        <v>8</v>
      </c>
      <c r="AR29" s="17">
        <v>8</v>
      </c>
      <c r="AS29" s="17">
        <v>8</v>
      </c>
      <c r="AT29" s="17">
        <v>8</v>
      </c>
      <c r="AU29" s="17">
        <v>8</v>
      </c>
      <c r="AV29" s="17">
        <v>8</v>
      </c>
      <c r="AW29" s="17">
        <v>8</v>
      </c>
      <c r="AX29" s="17">
        <v>8</v>
      </c>
      <c r="AY29" s="17">
        <v>8</v>
      </c>
      <c r="AZ29" s="17">
        <v>8</v>
      </c>
      <c r="BA29" s="17">
        <v>8</v>
      </c>
      <c r="BB29" s="17">
        <v>8</v>
      </c>
      <c r="BC29" s="17">
        <v>8</v>
      </c>
      <c r="BD29" s="17">
        <v>8</v>
      </c>
      <c r="BE29" s="17">
        <v>8</v>
      </c>
      <c r="BF29" s="17">
        <v>8</v>
      </c>
      <c r="BG29" s="17">
        <v>8</v>
      </c>
      <c r="BH29" s="17">
        <v>8</v>
      </c>
      <c r="BI29" s="17">
        <v>8</v>
      </c>
      <c r="BJ29" s="17">
        <v>8</v>
      </c>
      <c r="BK29" s="17">
        <v>8</v>
      </c>
      <c r="BL29" s="17">
        <v>8</v>
      </c>
      <c r="BM29" s="17">
        <v>8</v>
      </c>
      <c r="BN29" s="17">
        <v>8</v>
      </c>
      <c r="BO29" s="17">
        <v>8</v>
      </c>
      <c r="BP29" s="17">
        <v>8</v>
      </c>
      <c r="BQ29" s="17">
        <v>8</v>
      </c>
      <c r="BR29" s="17">
        <v>8</v>
      </c>
      <c r="BS29" s="17">
        <v>8</v>
      </c>
      <c r="BT29" s="17">
        <v>8</v>
      </c>
      <c r="BU29" s="17">
        <v>8</v>
      </c>
      <c r="BV29" s="17">
        <v>8</v>
      </c>
      <c r="BW29" s="17">
        <v>8</v>
      </c>
      <c r="BX29" s="17">
        <v>8</v>
      </c>
      <c r="BY29" s="17">
        <v>8</v>
      </c>
      <c r="BZ29" s="17">
        <v>8</v>
      </c>
      <c r="CA29" s="17">
        <v>8</v>
      </c>
      <c r="CB29" s="17">
        <v>8</v>
      </c>
      <c r="CC29" s="17">
        <v>8</v>
      </c>
      <c r="CD29" s="17">
        <v>8</v>
      </c>
      <c r="CE29" s="17">
        <v>8</v>
      </c>
      <c r="CF29" s="17">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292-F26B-9EB8-FE89-88B25695EE33}">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hidden="1" customWidth="1"/>
    <col min="6" max="6" width="16.85546875" hidden="1" customWidth="1"/>
    <col min="7" max="7" width="5.5703125" hidden="1" customWidth="1"/>
    <col min="8" max="8" width="3" customWidth="1"/>
    <col min="9" max="9" width="7" customWidth="1"/>
    <col min="10" max="10" width="56" customWidth="1"/>
    <col min="11" max="11" width="10" customWidth="1"/>
    <col min="12" max="12" width="40.5703125" hidden="1" customWidth="1"/>
    <col min="13" max="13" width="40.7109375" customWidth="1"/>
    <col min="14" max="14" width="9.7109375" hidden="1" customWidth="1"/>
    <col min="15" max="15" width="102" customWidth="1"/>
    <col min="16" max="16" width="9" customWidth="1"/>
    <col min="17" max="17" width="5" customWidth="1"/>
    <col min="18" max="22" width="3" customWidth="1"/>
    <col min="23" max="23" width="10" customWidth="1"/>
    <col min="24" max="24" width="34" customWidth="1"/>
    <col min="25" max="25" width="9" customWidth="1"/>
    <col min="26" max="36" width="8" customWidth="1"/>
    <col min="37" max="37" width="5.42578125" hidden="1" customWidth="1"/>
  </cols>
  <sheetData>
    <row r="1" spans="2:37" ht="33.75" hidden="1" customHeight="1">
      <c r="L1" s="37">
        <v>4</v>
      </c>
      <c r="M1" s="37">
        <v>4</v>
      </c>
      <c r="AK1" s="37" t="s">
        <v>14</v>
      </c>
    </row>
    <row r="2" spans="2:37" ht="78.75" hidden="1" customHeight="1">
      <c r="B2" s="507" t="s">
        <v>616</v>
      </c>
      <c r="C2" s="507" t="s">
        <v>617</v>
      </c>
      <c r="D2" s="508" t="s">
        <v>618</v>
      </c>
      <c r="E2" s="509" t="e">
        <f>RIGHT(I2,LEN(I2)-SEARCH("#",SUBSTITUTE(I2,".","#",LEN(I2)-LEN(SUBSTITUTE(I2,".","")))))</f>
        <v>#VALUE!</v>
      </c>
      <c r="F2" s="509">
        <f>J2</f>
        <v>0</v>
      </c>
      <c r="I2" s="121"/>
      <c r="J2" s="90"/>
      <c r="K2" s="21" t="s">
        <v>557</v>
      </c>
      <c r="L2" s="312"/>
      <c r="M2" s="312"/>
      <c r="O2" s="296" t="s">
        <v>558</v>
      </c>
      <c r="AK2" s="37">
        <v>0</v>
      </c>
    </row>
    <row r="3" spans="2:37" ht="11.25" hidden="1" customHeight="1">
      <c r="E3" s="510" t="s">
        <v>619</v>
      </c>
      <c r="L3" s="17">
        <f>0</f>
        <v>0</v>
      </c>
      <c r="M3" s="17">
        <v>1</v>
      </c>
      <c r="AK3" s="17">
        <v>0</v>
      </c>
    </row>
    <row r="4" spans="2:37" ht="11.25" hidden="1" customHeight="1">
      <c r="O4" s="15">
        <v>4</v>
      </c>
      <c r="AK4" s="15">
        <v>0</v>
      </c>
    </row>
    <row r="5" spans="2:37" ht="11.45" customHeight="1">
      <c r="AK5" s="17">
        <v>11</v>
      </c>
    </row>
    <row r="6" spans="2:37" ht="57.75" customHeight="1">
      <c r="I6" s="1045" t="s">
        <v>620</v>
      </c>
      <c r="J6" s="1045"/>
      <c r="K6" s="1045"/>
      <c r="L6" s="1045"/>
      <c r="M6" s="1045"/>
      <c r="AK6" s="17">
        <v>55</v>
      </c>
    </row>
    <row r="7" spans="2:37" ht="25.15" customHeight="1">
      <c r="I7" s="1066" t="str">
        <f>IF(org=0,"Не определено",org)</f>
        <v>ООО "ТВС"</v>
      </c>
      <c r="J7" s="1066"/>
      <c r="K7" s="1066"/>
      <c r="L7" s="1066"/>
      <c r="M7" s="1066"/>
      <c r="AK7" s="17">
        <v>24</v>
      </c>
    </row>
    <row r="8" spans="2:37" ht="11.45" customHeight="1">
      <c r="AK8" s="17">
        <v>11</v>
      </c>
    </row>
    <row r="9" spans="2:37" ht="30" hidden="1" customHeight="1">
      <c r="L9" s="448"/>
      <c r="M9" s="448" t="s">
        <v>119</v>
      </c>
      <c r="AK9" s="75">
        <v>1</v>
      </c>
    </row>
    <row r="10" spans="2:37" ht="11.45" customHeight="1">
      <c r="E10" s="511" t="s">
        <v>621</v>
      </c>
      <c r="I10" s="449"/>
      <c r="J10" s="1197" t="s">
        <v>106</v>
      </c>
      <c r="K10" s="1198"/>
      <c r="L10" s="452" t="str">
        <f>IF(L9="","",INDEX(DIFFERENTIATION_UNMERGE_VD,MATCH(L9,DIFFERENTIATION_ID_DIFF,0)))</f>
        <v/>
      </c>
      <c r="M10" s="452" t="str">
        <f>IF(M9="","",INDEX(DIFFERENTIATION_UNMERGE_VD,MATCH(M9,DIFFERENTIATION_ID_DIFF,0)))</f>
        <v>Подключение (технологическое присоединение) к системе теплоснабжения</v>
      </c>
      <c r="O10" s="995" t="s">
        <v>302</v>
      </c>
      <c r="AK10" s="17">
        <v>11</v>
      </c>
    </row>
    <row r="11" spans="2:37" ht="11.45" customHeight="1">
      <c r="E11" s="511" t="s">
        <v>622</v>
      </c>
      <c r="I11" s="449"/>
      <c r="J11" s="1197" t="s">
        <v>565</v>
      </c>
      <c r="K11" s="1198"/>
      <c r="L11" s="452" t="str">
        <f>IF(L9="","",INDEX(DIFFERENTIATION_UNMERGE_AREA,MATCH(L9,DIFFERENTIATION_ID_DIFF,0)))</f>
        <v/>
      </c>
      <c r="M11" s="452" t="str">
        <f>IF(M9="","",INDEX(DIFFERENTIATION_UNMERGE_AREA,MATCH(M9,DIFFERENTIATION_ID_DIFF,0)))</f>
        <v>Территория 1</v>
      </c>
      <c r="O11" s="995"/>
      <c r="AK11" s="17">
        <v>11</v>
      </c>
    </row>
    <row r="12" spans="2:37" ht="11.45" customHeight="1">
      <c r="E12" s="511" t="s">
        <v>623</v>
      </c>
      <c r="I12" s="512"/>
      <c r="J12" s="1197" t="s">
        <v>566</v>
      </c>
      <c r="K12" s="1198"/>
      <c r="L12" s="452" t="str">
        <f>IF(L9="","",INDEX(DIFFERENTIATION_UNMERGE_SYSTEM,MATCH(L9,DIFFERENTIATION_ID_DIFF,0)))</f>
        <v/>
      </c>
      <c r="M12" s="452" t="str">
        <f>IF(M9="","",INDEX(DIFFERENTIATION_UNMERGE_SYSTEM,MATCH(M9,DIFFERENTIATION_ID_DIFF,0)))</f>
        <v>в зоне поставки котельной, расположенной по адресу: г. Москва, поселение Московский, Передельцевский проезд, стр.2</v>
      </c>
      <c r="O12" s="995"/>
      <c r="AK12" s="17">
        <v>11</v>
      </c>
    </row>
    <row r="13" spans="2:37" ht="11.45" customHeight="1">
      <c r="E13" s="511" t="s">
        <v>624</v>
      </c>
      <c r="F13" s="511" t="s">
        <v>625</v>
      </c>
      <c r="I13" s="1199" t="s">
        <v>301</v>
      </c>
      <c r="J13" s="1200"/>
      <c r="K13" s="1200"/>
      <c r="L13" s="450"/>
      <c r="M13" s="513"/>
      <c r="O13" s="995"/>
      <c r="AK13" s="17">
        <v>11</v>
      </c>
    </row>
    <row r="14" spans="2:37" ht="24" customHeight="1">
      <c r="I14" s="88" t="s">
        <v>88</v>
      </c>
      <c r="J14" s="88" t="s">
        <v>303</v>
      </c>
      <c r="K14" s="88" t="s">
        <v>567</v>
      </c>
      <c r="L14" s="22" t="s">
        <v>304</v>
      </c>
      <c r="M14" s="88" t="s">
        <v>304</v>
      </c>
      <c r="O14" s="995"/>
      <c r="AK14" s="17">
        <v>23</v>
      </c>
    </row>
    <row r="15" spans="2:37" ht="24" customHeight="1">
      <c r="B15" s="507" t="s">
        <v>626</v>
      </c>
      <c r="C15" s="507" t="s">
        <v>627</v>
      </c>
      <c r="D15" s="508" t="s">
        <v>628</v>
      </c>
      <c r="E15" s="509" t="s">
        <v>629</v>
      </c>
      <c r="F15" s="509" t="s">
        <v>629</v>
      </c>
      <c r="G15" s="75" t="s">
        <v>589</v>
      </c>
      <c r="I15" s="514">
        <v>1</v>
      </c>
      <c r="J15" s="165" t="s">
        <v>630</v>
      </c>
      <c r="K15" s="88" t="s">
        <v>307</v>
      </c>
      <c r="L15" s="515"/>
      <c r="M15" s="477"/>
      <c r="N15" s="516" t="s">
        <v>631</v>
      </c>
      <c r="O15" s="296" t="s">
        <v>632</v>
      </c>
      <c r="P15" s="516" t="s">
        <v>631</v>
      </c>
      <c r="AK15" s="17">
        <v>23</v>
      </c>
    </row>
    <row r="16" spans="2:37" ht="35.65" customHeight="1">
      <c r="B16" s="507" t="s">
        <v>633</v>
      </c>
      <c r="C16" s="507" t="s">
        <v>634</v>
      </c>
      <c r="D16" s="508" t="s">
        <v>618</v>
      </c>
      <c r="E16" s="509" t="s">
        <v>629</v>
      </c>
      <c r="F16" s="509" t="s">
        <v>629</v>
      </c>
      <c r="I16" s="517">
        <v>2</v>
      </c>
      <c r="J16" s="174" t="s">
        <v>635</v>
      </c>
      <c r="K16" s="161" t="s">
        <v>557</v>
      </c>
      <c r="L16" s="518"/>
      <c r="M16" s="519"/>
      <c r="N16" s="516" t="s">
        <v>631</v>
      </c>
      <c r="O16" s="296" t="s">
        <v>636</v>
      </c>
      <c r="P16" s="516" t="s">
        <v>631</v>
      </c>
      <c r="AK16" s="17">
        <v>34</v>
      </c>
    </row>
    <row r="17" spans="2:37" ht="17.25" hidden="1" customHeight="1">
      <c r="I17" s="89" t="s">
        <v>637</v>
      </c>
      <c r="J17" s="470"/>
      <c r="K17" s="89"/>
      <c r="L17" s="471"/>
      <c r="M17" s="471"/>
      <c r="O17" s="366"/>
      <c r="AK17" s="75">
        <v>1</v>
      </c>
    </row>
    <row r="18" spans="2:37" ht="24" customHeight="1">
      <c r="I18" s="462"/>
      <c r="J18" s="132" t="s">
        <v>587</v>
      </c>
      <c r="K18" s="463"/>
      <c r="L18" s="520"/>
      <c r="M18" s="464"/>
      <c r="O18" s="296" t="s">
        <v>588</v>
      </c>
      <c r="AK18" s="37">
        <v>23</v>
      </c>
    </row>
    <row r="19" spans="2:37" ht="19.899999999999999" customHeight="1">
      <c r="B19" s="507" t="s">
        <v>638</v>
      </c>
      <c r="C19" s="507" t="s">
        <v>639</v>
      </c>
      <c r="D19" s="508" t="s">
        <v>618</v>
      </c>
      <c r="E19" s="509" t="s">
        <v>629</v>
      </c>
      <c r="F19" s="509" t="s">
        <v>629</v>
      </c>
      <c r="I19" s="521">
        <v>3</v>
      </c>
      <c r="J19" s="165" t="s">
        <v>639</v>
      </c>
      <c r="K19" s="78" t="s">
        <v>557</v>
      </c>
      <c r="L19" s="522"/>
      <c r="M19" s="453"/>
      <c r="O19" s="296" t="s">
        <v>640</v>
      </c>
      <c r="AK19" s="17">
        <v>19</v>
      </c>
    </row>
    <row r="20" spans="2:37" ht="77.650000000000006" customHeight="1">
      <c r="B20" s="507" t="s">
        <v>641</v>
      </c>
      <c r="C20" s="507" t="s">
        <v>642</v>
      </c>
      <c r="D20" s="508" t="s">
        <v>618</v>
      </c>
      <c r="E20" s="509" t="s">
        <v>629</v>
      </c>
      <c r="F20" s="509" t="s">
        <v>629</v>
      </c>
      <c r="I20" s="521">
        <v>4</v>
      </c>
      <c r="J20" s="165" t="s">
        <v>643</v>
      </c>
      <c r="K20" s="78" t="s">
        <v>584</v>
      </c>
      <c r="L20" s="522"/>
      <c r="M20" s="453"/>
      <c r="O20" s="296"/>
      <c r="AK20" s="17">
        <v>74</v>
      </c>
    </row>
    <row r="21" spans="2:37" ht="35.65" customHeight="1">
      <c r="B21" s="507" t="s">
        <v>644</v>
      </c>
      <c r="C21" s="507" t="s">
        <v>645</v>
      </c>
      <c r="D21" s="508" t="s">
        <v>618</v>
      </c>
      <c r="E21" s="509" t="s">
        <v>629</v>
      </c>
      <c r="F21" s="509" t="s">
        <v>629</v>
      </c>
      <c r="I21" s="521">
        <v>5</v>
      </c>
      <c r="J21" s="165" t="s">
        <v>646</v>
      </c>
      <c r="K21" s="78" t="s">
        <v>584</v>
      </c>
      <c r="L21" s="522"/>
      <c r="M21" s="453"/>
      <c r="O21" s="296" t="s">
        <v>640</v>
      </c>
      <c r="AK21" s="17">
        <v>34</v>
      </c>
    </row>
    <row r="22" spans="2:37" ht="48.2" customHeight="1">
      <c r="B22" s="507" t="s">
        <v>647</v>
      </c>
      <c r="C22" s="507" t="s">
        <v>648</v>
      </c>
      <c r="D22" s="508" t="s">
        <v>618</v>
      </c>
      <c r="E22" s="509" t="s">
        <v>629</v>
      </c>
      <c r="F22" s="509" t="s">
        <v>629</v>
      </c>
      <c r="I22" s="521">
        <v>6</v>
      </c>
      <c r="J22" s="165" t="s">
        <v>649</v>
      </c>
      <c r="K22" s="78" t="s">
        <v>584</v>
      </c>
      <c r="L22" s="522"/>
      <c r="M22" s="453"/>
      <c r="O22" s="296" t="s">
        <v>650</v>
      </c>
      <c r="AK22" s="17">
        <v>46</v>
      </c>
    </row>
    <row r="23" spans="2:37" ht="19.899999999999999" customHeight="1">
      <c r="B23" s="507" t="s">
        <v>651</v>
      </c>
      <c r="C23" s="507" t="s">
        <v>652</v>
      </c>
      <c r="D23" s="508" t="s">
        <v>618</v>
      </c>
      <c r="E23" s="509" t="s">
        <v>629</v>
      </c>
      <c r="F23" s="509" t="s">
        <v>629</v>
      </c>
      <c r="I23" s="521" t="s">
        <v>653</v>
      </c>
      <c r="J23" s="421" t="s">
        <v>654</v>
      </c>
      <c r="K23" s="78" t="s">
        <v>584</v>
      </c>
      <c r="L23" s="522"/>
      <c r="M23" s="453"/>
      <c r="O23" s="296" t="s">
        <v>640</v>
      </c>
      <c r="AK23" s="17">
        <v>19</v>
      </c>
    </row>
    <row r="24" spans="2:37" ht="19.899999999999999" customHeight="1">
      <c r="B24" s="507" t="s">
        <v>655</v>
      </c>
      <c r="C24" s="507" t="s">
        <v>656</v>
      </c>
      <c r="D24" s="508" t="s">
        <v>618</v>
      </c>
      <c r="E24" s="509" t="s">
        <v>629</v>
      </c>
      <c r="F24" s="509" t="s">
        <v>629</v>
      </c>
      <c r="I24" s="521" t="s">
        <v>657</v>
      </c>
      <c r="J24" s="421" t="s">
        <v>658</v>
      </c>
      <c r="K24" s="78" t="s">
        <v>584</v>
      </c>
      <c r="L24" s="522"/>
      <c r="M24" s="453"/>
      <c r="O24" s="296"/>
      <c r="AK24" s="17">
        <v>19</v>
      </c>
    </row>
    <row r="25" spans="2:37" ht="24" customHeight="1">
      <c r="B25" s="507" t="s">
        <v>659</v>
      </c>
      <c r="C25" s="507" t="s">
        <v>660</v>
      </c>
      <c r="D25" s="508" t="s">
        <v>618</v>
      </c>
      <c r="E25" s="509" t="s">
        <v>629</v>
      </c>
      <c r="F25" s="509" t="s">
        <v>629</v>
      </c>
      <c r="I25" s="521" t="s">
        <v>661</v>
      </c>
      <c r="J25" s="421" t="s">
        <v>662</v>
      </c>
      <c r="K25" s="78" t="s">
        <v>584</v>
      </c>
      <c r="L25" s="522"/>
      <c r="M25" s="453"/>
      <c r="O25" s="296"/>
      <c r="AK25" s="17">
        <v>23</v>
      </c>
    </row>
    <row r="26" spans="2:37" ht="24" customHeight="1">
      <c r="B26" s="507" t="s">
        <v>663</v>
      </c>
      <c r="C26" s="507" t="s">
        <v>664</v>
      </c>
      <c r="D26" s="508" t="s">
        <v>618</v>
      </c>
      <c r="E26" s="509" t="s">
        <v>629</v>
      </c>
      <c r="F26" s="509" t="s">
        <v>629</v>
      </c>
      <c r="I26" s="521">
        <v>7</v>
      </c>
      <c r="J26" s="165" t="s">
        <v>664</v>
      </c>
      <c r="K26" s="78" t="s">
        <v>665</v>
      </c>
      <c r="L26" s="522"/>
      <c r="M26" s="453"/>
      <c r="O26" s="296"/>
      <c r="AK26" s="17">
        <v>23</v>
      </c>
    </row>
    <row r="27" spans="2:37" ht="24" customHeight="1">
      <c r="B27" s="507" t="s">
        <v>666</v>
      </c>
      <c r="C27" s="507" t="s">
        <v>667</v>
      </c>
      <c r="D27" s="508" t="s">
        <v>618</v>
      </c>
      <c r="E27" s="509" t="s">
        <v>629</v>
      </c>
      <c r="F27" s="509" t="s">
        <v>629</v>
      </c>
      <c r="I27" s="521">
        <v>8</v>
      </c>
      <c r="J27" s="165" t="s">
        <v>667</v>
      </c>
      <c r="K27" s="78" t="s">
        <v>590</v>
      </c>
      <c r="L27" s="522"/>
      <c r="M27" s="453"/>
      <c r="O27" s="296"/>
      <c r="AK27" s="17">
        <v>23</v>
      </c>
    </row>
    <row r="28" spans="2:37" ht="35.65" customHeight="1">
      <c r="B28" s="507" t="s">
        <v>668</v>
      </c>
      <c r="C28" s="507" t="s">
        <v>669</v>
      </c>
      <c r="D28" s="508" t="s">
        <v>618</v>
      </c>
      <c r="E28" s="509" t="s">
        <v>629</v>
      </c>
      <c r="F28" s="509" t="s">
        <v>629</v>
      </c>
      <c r="I28" s="523">
        <v>9</v>
      </c>
      <c r="J28" s="165" t="s">
        <v>670</v>
      </c>
      <c r="K28" s="78" t="s">
        <v>561</v>
      </c>
      <c r="L28" s="522"/>
      <c r="M28" s="453"/>
      <c r="O28" s="296"/>
      <c r="AK28" s="17">
        <v>34</v>
      </c>
    </row>
    <row r="29" spans="2:37" ht="35.65" customHeight="1">
      <c r="B29" s="507" t="s">
        <v>671</v>
      </c>
      <c r="C29" s="507" t="s">
        <v>672</v>
      </c>
      <c r="D29" s="508" t="s">
        <v>618</v>
      </c>
      <c r="E29" s="509" t="s">
        <v>629</v>
      </c>
      <c r="F29" s="509" t="s">
        <v>629</v>
      </c>
      <c r="I29" s="523">
        <v>10</v>
      </c>
      <c r="J29" s="165" t="s">
        <v>673</v>
      </c>
      <c r="K29" s="78" t="s">
        <v>561</v>
      </c>
      <c r="L29" s="522"/>
      <c r="M29" s="453"/>
      <c r="O29" s="296"/>
      <c r="AK29" s="17">
        <v>34</v>
      </c>
    </row>
    <row r="30" spans="2:37" ht="24" customHeight="1">
      <c r="B30" s="507" t="s">
        <v>674</v>
      </c>
      <c r="C30" s="507" t="s">
        <v>675</v>
      </c>
      <c r="D30" s="508" t="s">
        <v>618</v>
      </c>
      <c r="E30" s="509" t="s">
        <v>629</v>
      </c>
      <c r="F30" s="509" t="s">
        <v>629</v>
      </c>
      <c r="I30" s="523">
        <v>11</v>
      </c>
      <c r="J30" s="165" t="s">
        <v>675</v>
      </c>
      <c r="K30" s="78" t="s">
        <v>591</v>
      </c>
      <c r="L30" s="524"/>
      <c r="M30" s="274"/>
      <c r="O30" s="296"/>
      <c r="AK30" s="17">
        <v>23</v>
      </c>
    </row>
    <row r="31" spans="2:37" ht="24" customHeight="1">
      <c r="B31" s="507" t="s">
        <v>676</v>
      </c>
      <c r="C31" s="507" t="s">
        <v>677</v>
      </c>
      <c r="D31" s="508" t="s">
        <v>618</v>
      </c>
      <c r="E31" s="509" t="s">
        <v>629</v>
      </c>
      <c r="F31" s="509" t="s">
        <v>629</v>
      </c>
      <c r="I31" s="523">
        <v>12</v>
      </c>
      <c r="J31" s="165" t="s">
        <v>677</v>
      </c>
      <c r="K31" s="78" t="s">
        <v>591</v>
      </c>
      <c r="L31" s="524"/>
      <c r="M31" s="274"/>
      <c r="O31" s="296"/>
      <c r="AK31" s="17">
        <v>23</v>
      </c>
    </row>
    <row r="32" spans="2:37" ht="48.2" customHeight="1">
      <c r="B32" s="507" t="s">
        <v>678</v>
      </c>
      <c r="C32" s="507" t="s">
        <v>679</v>
      </c>
      <c r="D32" s="508" t="s">
        <v>618</v>
      </c>
      <c r="E32" s="509" t="s">
        <v>629</v>
      </c>
      <c r="F32" s="509" t="s">
        <v>629</v>
      </c>
      <c r="I32" s="523">
        <v>13</v>
      </c>
      <c r="J32" s="165" t="s">
        <v>680</v>
      </c>
      <c r="K32" s="78" t="s">
        <v>601</v>
      </c>
      <c r="L32" s="522"/>
      <c r="M32" s="453"/>
      <c r="O32" s="296" t="s">
        <v>640</v>
      </c>
      <c r="AK32" s="17">
        <v>46</v>
      </c>
    </row>
    <row r="33" spans="2:37" ht="48.2" customHeight="1">
      <c r="B33" s="507" t="s">
        <v>681</v>
      </c>
      <c r="C33" s="507" t="s">
        <v>682</v>
      </c>
      <c r="D33" s="508" t="s">
        <v>618</v>
      </c>
      <c r="E33" s="509" t="s">
        <v>629</v>
      </c>
      <c r="F33" s="509" t="s">
        <v>629</v>
      </c>
      <c r="I33" s="523">
        <v>14</v>
      </c>
      <c r="J33" s="174" t="s">
        <v>683</v>
      </c>
      <c r="K33" s="158" t="s">
        <v>684</v>
      </c>
      <c r="L33" s="522"/>
      <c r="M33" s="453"/>
      <c r="O33" s="296" t="s">
        <v>640</v>
      </c>
      <c r="AK33" s="37">
        <v>46</v>
      </c>
    </row>
    <row r="34" spans="2:37" ht="108" customHeight="1">
      <c r="B34" s="507" t="s">
        <v>685</v>
      </c>
      <c r="C34" s="507" t="s">
        <v>686</v>
      </c>
      <c r="D34" s="508" t="s">
        <v>628</v>
      </c>
      <c r="E34" s="509" t="s">
        <v>629</v>
      </c>
      <c r="F34" s="509" t="s">
        <v>629</v>
      </c>
      <c r="G34" s="75" t="s">
        <v>589</v>
      </c>
      <c r="I34" s="121">
        <v>15</v>
      </c>
      <c r="J34" s="165" t="s">
        <v>687</v>
      </c>
      <c r="K34" s="78" t="s">
        <v>307</v>
      </c>
      <c r="L34" s="525"/>
      <c r="M34" s="287"/>
      <c r="O34" s="296" t="s">
        <v>632</v>
      </c>
      <c r="AK34" s="17">
        <v>103</v>
      </c>
    </row>
    <row r="35" spans="2:37" ht="11.45" customHeight="1">
      <c r="AK35" s="258">
        <v>11</v>
      </c>
    </row>
    <row r="36" spans="2:37" ht="11.45" customHeight="1">
      <c r="AK36" s="258">
        <v>11</v>
      </c>
    </row>
    <row r="37" spans="2:37" ht="11.45" customHeight="1">
      <c r="AK37" s="258">
        <v>11</v>
      </c>
    </row>
    <row r="38" spans="2:37" ht="11.45" customHeight="1">
      <c r="AK38" s="258">
        <v>11</v>
      </c>
    </row>
    <row r="39" spans="2:37" ht="11.45" customHeight="1">
      <c r="AK39" s="258">
        <v>11</v>
      </c>
    </row>
    <row r="40" spans="2:37" ht="11.45" customHeight="1">
      <c r="AK40" s="258">
        <v>11</v>
      </c>
    </row>
    <row r="41" spans="2:37" ht="11.45" customHeight="1">
      <c r="AK41" s="258">
        <v>11</v>
      </c>
    </row>
    <row r="42" spans="2:37" ht="11.45" customHeight="1">
      <c r="AK42" s="258">
        <v>11</v>
      </c>
    </row>
    <row r="43" spans="2:37" ht="11.45" customHeight="1">
      <c r="AK43" s="258">
        <v>11</v>
      </c>
    </row>
    <row r="44" spans="2:37" ht="11.45" customHeight="1">
      <c r="AK44" s="258">
        <v>11</v>
      </c>
    </row>
    <row r="45" spans="2:37" ht="11.45" customHeight="1">
      <c r="AK45" s="258">
        <v>11</v>
      </c>
    </row>
    <row r="46" spans="2:37" ht="11.45" customHeight="1">
      <c r="AK46" s="258">
        <v>11</v>
      </c>
    </row>
    <row r="47" spans="2:37" ht="11.45" customHeight="1">
      <c r="AK47" s="258">
        <v>11</v>
      </c>
    </row>
    <row r="48" spans="2:37" ht="11.45" customHeight="1">
      <c r="AK48" s="258">
        <v>11</v>
      </c>
    </row>
    <row r="49" spans="37:37" ht="11.45" customHeight="1">
      <c r="AK49" s="258">
        <v>11</v>
      </c>
    </row>
    <row r="50" spans="37:37" ht="11.45" customHeight="1">
      <c r="AK50" s="258">
        <v>11</v>
      </c>
    </row>
    <row r="51" spans="37:37" ht="11.45" customHeight="1">
      <c r="AK51" s="258">
        <v>11</v>
      </c>
    </row>
    <row r="52" spans="37:37" ht="11.45" customHeight="1">
      <c r="AK52" s="258">
        <v>11</v>
      </c>
    </row>
    <row r="53" spans="37:37" ht="11.45" customHeight="1">
      <c r="AK53" s="258">
        <v>11</v>
      </c>
    </row>
    <row r="54" spans="37:37" ht="11.45" customHeight="1">
      <c r="AK54" s="258">
        <v>11</v>
      </c>
    </row>
    <row r="55" spans="37:37" ht="11.45" customHeight="1">
      <c r="AK55" s="258">
        <v>11</v>
      </c>
    </row>
    <row r="56" spans="37:37" ht="11.45" customHeight="1">
      <c r="AK56" s="258">
        <v>11</v>
      </c>
    </row>
    <row r="57" spans="37:37" ht="11.45" customHeight="1">
      <c r="AK57" s="258">
        <v>11</v>
      </c>
    </row>
    <row r="58" spans="37:37" ht="11.45" customHeight="1">
      <c r="AK58" s="258">
        <v>11</v>
      </c>
    </row>
    <row r="59" spans="37:37" ht="11.45" customHeight="1">
      <c r="AK59" s="258">
        <v>11</v>
      </c>
    </row>
    <row r="60" spans="37:37" ht="11.45" customHeight="1">
      <c r="AK60" s="258">
        <v>11</v>
      </c>
    </row>
    <row r="61" spans="37:37" ht="11.45" customHeight="1">
      <c r="AK61" s="258">
        <v>11</v>
      </c>
    </row>
    <row r="62" spans="37:37" ht="11.45" customHeight="1">
      <c r="AK62" s="258">
        <v>11</v>
      </c>
    </row>
    <row r="63" spans="37:37" ht="11.45" customHeight="1">
      <c r="AK63" s="258">
        <v>11</v>
      </c>
    </row>
    <row r="64" spans="37:37" ht="11.45" customHeight="1">
      <c r="AK64" s="258">
        <v>11</v>
      </c>
    </row>
    <row r="65" spans="37:37" ht="11.45" customHeight="1">
      <c r="AK65" s="258">
        <v>11</v>
      </c>
    </row>
    <row r="66" spans="37:37" ht="11.45" customHeight="1">
      <c r="AK66" s="258">
        <v>11</v>
      </c>
    </row>
    <row r="67" spans="37:37" ht="11.45" customHeight="1">
      <c r="AK67" s="258">
        <v>11</v>
      </c>
    </row>
    <row r="68" spans="37:37" ht="11.45" customHeight="1">
      <c r="AK68" s="258">
        <v>11</v>
      </c>
    </row>
    <row r="69" spans="37:37" ht="11.45" customHeight="1">
      <c r="AK69" s="258">
        <v>11</v>
      </c>
    </row>
    <row r="70" spans="37:37" ht="11.45" customHeight="1">
      <c r="AK70" s="258">
        <v>11</v>
      </c>
    </row>
    <row r="71" spans="37:37" ht="11.45" customHeight="1">
      <c r="AK71" s="258">
        <v>11</v>
      </c>
    </row>
    <row r="72" spans="37:37" ht="11.45" customHeight="1">
      <c r="AK72" s="258">
        <v>11</v>
      </c>
    </row>
    <row r="73" spans="37:37" ht="11.45" customHeight="1">
      <c r="AK73" s="258">
        <v>11</v>
      </c>
    </row>
    <row r="74" spans="37:37" ht="11.45" customHeight="1">
      <c r="AK74" s="258">
        <v>11</v>
      </c>
    </row>
    <row r="75" spans="37:37" ht="11.45" customHeight="1">
      <c r="AK75" s="258">
        <v>11</v>
      </c>
    </row>
    <row r="76" spans="37:37" ht="11.45" customHeight="1">
      <c r="AK76" s="258">
        <v>11</v>
      </c>
    </row>
    <row r="77" spans="37:37" ht="11.45" customHeight="1">
      <c r="AK77" s="258">
        <v>11</v>
      </c>
    </row>
    <row r="78" spans="37:37" ht="11.45" customHeight="1">
      <c r="AK78" s="258">
        <v>11</v>
      </c>
    </row>
    <row r="79" spans="37:37" ht="11.45" customHeight="1">
      <c r="AK79" s="258">
        <v>11</v>
      </c>
    </row>
    <row r="80" spans="37:37" ht="11.45" customHeight="1">
      <c r="AK80" s="258">
        <v>11</v>
      </c>
    </row>
    <row r="81" spans="37:37" ht="11.45" customHeight="1">
      <c r="AK81" s="258">
        <v>11</v>
      </c>
    </row>
    <row r="82" spans="37:37" ht="11.45" customHeight="1">
      <c r="AK82" s="258">
        <v>11</v>
      </c>
    </row>
    <row r="83" spans="37:37" ht="11.45" customHeight="1">
      <c r="AK83" s="258">
        <v>11</v>
      </c>
    </row>
    <row r="84" spans="37:37" ht="11.45" customHeight="1">
      <c r="AK84" s="258">
        <v>11</v>
      </c>
    </row>
    <row r="85" spans="37:37" ht="11.45" customHeight="1">
      <c r="AK85" s="258">
        <v>11</v>
      </c>
    </row>
    <row r="86" spans="37:37" ht="11.45" customHeight="1">
      <c r="AK86" s="258">
        <v>11</v>
      </c>
    </row>
    <row r="87" spans="37:37" ht="11.45" customHeight="1">
      <c r="AK87" s="258">
        <v>11</v>
      </c>
    </row>
    <row r="88" spans="37:37" ht="11.45" customHeight="1">
      <c r="AK88" s="258">
        <v>11</v>
      </c>
    </row>
    <row r="89" spans="37:37" ht="11.45" customHeight="1">
      <c r="AK89" s="258">
        <v>11</v>
      </c>
    </row>
    <row r="90" spans="37:37" ht="11.45" customHeight="1">
      <c r="AK90" s="258">
        <v>11</v>
      </c>
    </row>
    <row r="91" spans="37:37" ht="11.45" customHeight="1">
      <c r="AK91" s="258">
        <v>11</v>
      </c>
    </row>
    <row r="92" spans="37:37" ht="11.45" customHeight="1">
      <c r="AK92" s="258">
        <v>11</v>
      </c>
    </row>
    <row r="93" spans="37:37" ht="11.45" customHeight="1">
      <c r="AK93" s="258">
        <v>11</v>
      </c>
    </row>
    <row r="94" spans="37:37" ht="11.45" customHeight="1">
      <c r="AK94" s="258">
        <v>11</v>
      </c>
    </row>
    <row r="95" spans="37:37" ht="11.45" customHeight="1">
      <c r="AK95" s="258">
        <v>11</v>
      </c>
    </row>
    <row r="96" spans="37:37" ht="11.45" customHeight="1">
      <c r="AK96" s="258">
        <v>11</v>
      </c>
    </row>
    <row r="97" spans="37:37" ht="11.45" customHeight="1">
      <c r="AK97" s="258">
        <v>11</v>
      </c>
    </row>
    <row r="98" spans="37:37" ht="11.45" customHeight="1">
      <c r="AK98" s="258">
        <v>11</v>
      </c>
    </row>
    <row r="99" spans="37:37" ht="11.45" customHeight="1">
      <c r="AK99" s="258">
        <v>11</v>
      </c>
    </row>
    <row r="100" spans="37:37" ht="11.45" customHeight="1">
      <c r="AK100" s="258">
        <v>11</v>
      </c>
    </row>
    <row r="101" spans="37:37" ht="11.45" customHeight="1">
      <c r="AK101" s="258">
        <v>11</v>
      </c>
    </row>
    <row r="102" spans="37:37" ht="11.45" customHeight="1">
      <c r="AK102" s="258">
        <v>11</v>
      </c>
    </row>
    <row r="103" spans="37:37" ht="11.45" customHeight="1">
      <c r="AK103" s="258">
        <v>11</v>
      </c>
    </row>
    <row r="104" spans="37:37" ht="11.45" customHeight="1">
      <c r="AK104" s="258">
        <v>11</v>
      </c>
    </row>
    <row r="105" spans="37:37" ht="11.45" customHeight="1">
      <c r="AK105" s="258">
        <v>11</v>
      </c>
    </row>
    <row r="106" spans="37:37" ht="11.45" customHeight="1">
      <c r="AK106" s="258">
        <v>11</v>
      </c>
    </row>
    <row r="107" spans="37:37" ht="11.45" customHeight="1">
      <c r="AK107" s="258">
        <v>11</v>
      </c>
    </row>
    <row r="108" spans="37:37" ht="11.45" customHeight="1">
      <c r="AK108" s="258">
        <v>11</v>
      </c>
    </row>
    <row r="109" spans="37:37" ht="11.45" customHeight="1">
      <c r="AK109" s="258">
        <v>11</v>
      </c>
    </row>
    <row r="110" spans="37:37" ht="11.45" customHeight="1">
      <c r="AK110" s="258">
        <v>11</v>
      </c>
    </row>
    <row r="111" spans="37:37" ht="11.45" customHeight="1">
      <c r="AK111" s="258">
        <v>11</v>
      </c>
    </row>
    <row r="112" spans="37:37" ht="11.45" customHeight="1">
      <c r="AK112" s="258">
        <v>11</v>
      </c>
    </row>
    <row r="113" spans="37:37" ht="11.45" customHeight="1">
      <c r="AK113" s="258">
        <v>11</v>
      </c>
    </row>
    <row r="114" spans="37:37" ht="11.45" customHeight="1">
      <c r="AK114" s="258">
        <v>11</v>
      </c>
    </row>
    <row r="115" spans="37:37" ht="11.45" customHeight="1">
      <c r="AK115" s="258">
        <v>11</v>
      </c>
    </row>
    <row r="116" spans="37:37" ht="11.45" customHeight="1">
      <c r="AK116" s="258">
        <v>11</v>
      </c>
    </row>
    <row r="117" spans="37:37" ht="11.45" customHeight="1">
      <c r="AK117" s="258">
        <v>11</v>
      </c>
    </row>
    <row r="118" spans="37:37" ht="11.45" customHeight="1">
      <c r="AK118" s="258">
        <v>11</v>
      </c>
    </row>
    <row r="119" spans="37:37" ht="11.45" customHeight="1">
      <c r="AK119" s="258">
        <v>11</v>
      </c>
    </row>
    <row r="120" spans="37:37" ht="11.45" customHeight="1">
      <c r="AK120" s="258">
        <v>11</v>
      </c>
    </row>
    <row r="121" spans="37:37" ht="11.45" customHeight="1">
      <c r="AK121" s="258">
        <v>11</v>
      </c>
    </row>
    <row r="122" spans="37:37" ht="11.45" customHeight="1">
      <c r="AK122" s="258">
        <v>11</v>
      </c>
    </row>
    <row r="123" spans="37:37" ht="11.45" customHeight="1">
      <c r="AK123" s="258">
        <v>11</v>
      </c>
    </row>
    <row r="124" spans="37:37" ht="11.45" customHeight="1">
      <c r="AK124" s="258">
        <v>11</v>
      </c>
    </row>
    <row r="125" spans="37:37" ht="11.45" customHeight="1">
      <c r="AK125" s="258">
        <v>11</v>
      </c>
    </row>
    <row r="126" spans="37:37" ht="11.45" customHeight="1">
      <c r="AK126" s="258">
        <v>11</v>
      </c>
    </row>
    <row r="127" spans="37:37" ht="11.45" customHeight="1">
      <c r="AK127" s="258">
        <v>11</v>
      </c>
    </row>
    <row r="128" spans="37:37" ht="11.45" customHeight="1">
      <c r="AK128" s="258">
        <v>11</v>
      </c>
    </row>
    <row r="129" spans="37:37" ht="11.45" customHeight="1">
      <c r="AK129" s="258">
        <v>11</v>
      </c>
    </row>
    <row r="130" spans="37:37" ht="11.45" customHeight="1">
      <c r="AK130" s="258">
        <v>11</v>
      </c>
    </row>
    <row r="131" spans="37:37" ht="11.45" customHeight="1">
      <c r="AK131" s="258">
        <v>11</v>
      </c>
    </row>
    <row r="132" spans="37:37" ht="11.45" customHeight="1">
      <c r="AK132" s="258">
        <v>11</v>
      </c>
    </row>
    <row r="133" spans="37:37" ht="11.45" customHeight="1">
      <c r="AK133" s="258">
        <v>11</v>
      </c>
    </row>
    <row r="134" spans="37:37" ht="11.45" customHeight="1">
      <c r="AK134" s="258">
        <v>11</v>
      </c>
    </row>
    <row r="135" spans="37:37" ht="11.45" customHeight="1">
      <c r="AK135" s="258">
        <v>11</v>
      </c>
    </row>
    <row r="136" spans="37:37" ht="11.45" customHeight="1">
      <c r="AK136" s="258">
        <v>11</v>
      </c>
    </row>
    <row r="137" spans="37:37" ht="11.45" customHeight="1">
      <c r="AK137" s="258">
        <v>11</v>
      </c>
    </row>
    <row r="138" spans="37:37" ht="11.45" customHeight="1">
      <c r="AK138" s="258">
        <v>11</v>
      </c>
    </row>
    <row r="139" spans="37:37" ht="11.45" customHeight="1">
      <c r="AK139" s="258">
        <v>11</v>
      </c>
    </row>
    <row r="140" spans="37:37" ht="11.45" customHeight="1">
      <c r="AK140" s="258">
        <v>11</v>
      </c>
    </row>
    <row r="141" spans="37:37" ht="11.45" customHeight="1">
      <c r="AK141" s="258">
        <v>11</v>
      </c>
    </row>
    <row r="142" spans="37:37" ht="11.45" customHeight="1">
      <c r="AK142" s="258">
        <v>11</v>
      </c>
    </row>
    <row r="143" spans="37:37" ht="11.45" customHeight="1">
      <c r="AK143" s="258">
        <v>11</v>
      </c>
    </row>
    <row r="144" spans="37:37" ht="11.45" customHeight="1">
      <c r="AK144" s="258">
        <v>11</v>
      </c>
    </row>
    <row r="145" spans="37:37" ht="11.45" customHeight="1">
      <c r="AK145" s="258">
        <v>11</v>
      </c>
    </row>
    <row r="146" spans="37:37" ht="11.45" customHeight="1">
      <c r="AK146" s="258">
        <v>11</v>
      </c>
    </row>
    <row r="147" spans="37:37" ht="11.45" customHeight="1">
      <c r="AK147" s="258">
        <v>11</v>
      </c>
    </row>
    <row r="148" spans="37:37" ht="11.45" customHeight="1">
      <c r="AK148" s="258">
        <v>11</v>
      </c>
    </row>
    <row r="149" spans="37:37" ht="11.45" customHeight="1">
      <c r="AK149" s="258">
        <v>11</v>
      </c>
    </row>
    <row r="150" spans="37:37" ht="11.45" customHeight="1">
      <c r="AK150" s="258">
        <v>11</v>
      </c>
    </row>
    <row r="151" spans="37:37" ht="11.45" customHeight="1">
      <c r="AK151" s="258">
        <v>11</v>
      </c>
    </row>
    <row r="152" spans="37:37" ht="11.45" customHeight="1">
      <c r="AK152" s="258">
        <v>11</v>
      </c>
    </row>
    <row r="153" spans="37:37" ht="11.45" customHeight="1">
      <c r="AK153" s="258">
        <v>11</v>
      </c>
    </row>
    <row r="154" spans="37:37" ht="11.45" customHeight="1">
      <c r="AK154" s="258">
        <v>11</v>
      </c>
    </row>
    <row r="155" spans="37:37" ht="11.45" customHeight="1">
      <c r="AK155" s="258">
        <v>11</v>
      </c>
    </row>
    <row r="156" spans="37:37" ht="11.45" customHeight="1">
      <c r="AK156" s="258">
        <v>11</v>
      </c>
    </row>
    <row r="157" spans="37:37" ht="11.45" customHeight="1">
      <c r="AK157" s="258">
        <v>11</v>
      </c>
    </row>
    <row r="158" spans="37:37" ht="11.45" customHeight="1">
      <c r="AK158" s="258">
        <v>11</v>
      </c>
    </row>
    <row r="159" spans="37:37" ht="11.45" customHeight="1">
      <c r="AK159" s="258">
        <v>11</v>
      </c>
    </row>
    <row r="160" spans="37:37" ht="11.45" customHeight="1">
      <c r="AK160" s="258">
        <v>11</v>
      </c>
    </row>
    <row r="161" spans="37:37" ht="11.45" customHeight="1">
      <c r="AK161" s="258">
        <v>11</v>
      </c>
    </row>
    <row r="162" spans="37:37" ht="11.45" customHeight="1">
      <c r="AK162" s="258">
        <v>11</v>
      </c>
    </row>
    <row r="163" spans="37:37" ht="11.45" customHeight="1">
      <c r="AK163" s="258">
        <v>11</v>
      </c>
    </row>
    <row r="164" spans="37:37" ht="11.45" customHeight="1">
      <c r="AK164" s="258">
        <v>11</v>
      </c>
    </row>
    <row r="165" spans="37:37" ht="11.45" customHeight="1">
      <c r="AK165" s="258">
        <v>11</v>
      </c>
    </row>
    <row r="166" spans="37:37" ht="11.45" customHeight="1">
      <c r="AK166" s="258">
        <v>11</v>
      </c>
    </row>
    <row r="167" spans="37:37" ht="11.45" customHeight="1">
      <c r="AK167" s="258">
        <v>11</v>
      </c>
    </row>
    <row r="168" spans="37:37" ht="11.45" customHeight="1">
      <c r="AK168" s="258">
        <v>11</v>
      </c>
    </row>
    <row r="169" spans="37:37" ht="11.45" customHeight="1">
      <c r="AK169" s="258">
        <v>11</v>
      </c>
    </row>
    <row r="170" spans="37:37" ht="11.45" customHeight="1">
      <c r="AK170" s="258">
        <v>11</v>
      </c>
    </row>
    <row r="171" spans="37:37" ht="11.45" customHeight="1">
      <c r="AK171" s="258">
        <v>11</v>
      </c>
    </row>
    <row r="172" spans="37:37" ht="11.45" customHeight="1">
      <c r="AK172" s="258">
        <v>11</v>
      </c>
    </row>
    <row r="173" spans="37:37" ht="11.45" customHeight="1">
      <c r="AK173" s="258">
        <v>11</v>
      </c>
    </row>
    <row r="174" spans="37:37" ht="11.45" customHeight="1">
      <c r="AK174" s="258">
        <v>11</v>
      </c>
    </row>
    <row r="175" spans="37:37" ht="11.45" customHeight="1">
      <c r="AK175" s="258">
        <v>11</v>
      </c>
    </row>
    <row r="176" spans="37:37" ht="11.45" customHeight="1">
      <c r="AK176" s="258">
        <v>11</v>
      </c>
    </row>
    <row r="177" spans="37:37" ht="11.45" customHeight="1">
      <c r="AK177" s="258">
        <v>11</v>
      </c>
    </row>
    <row r="178" spans="37:37" ht="11.45" customHeight="1">
      <c r="AK178" s="258">
        <v>11</v>
      </c>
    </row>
    <row r="179" spans="37:37" ht="11.45" customHeight="1">
      <c r="AK179" s="258">
        <v>11</v>
      </c>
    </row>
    <row r="180" spans="37:37" ht="11.45" customHeight="1">
      <c r="AK180" s="258">
        <v>11</v>
      </c>
    </row>
    <row r="181" spans="37:37" ht="11.45" customHeight="1">
      <c r="AK181" s="258">
        <v>11</v>
      </c>
    </row>
    <row r="182" spans="37:37" ht="11.45" customHeight="1">
      <c r="AK182" s="258">
        <v>11</v>
      </c>
    </row>
    <row r="183" spans="37:37" ht="11.45" customHeight="1">
      <c r="AK183" s="258">
        <v>11</v>
      </c>
    </row>
    <row r="184" spans="37:37" ht="11.45" customHeight="1">
      <c r="AK184" s="258">
        <v>11</v>
      </c>
    </row>
    <row r="185" spans="37:37" ht="11.45" customHeight="1">
      <c r="AK185" s="258">
        <v>11</v>
      </c>
    </row>
    <row r="186" spans="37:37" ht="11.45" customHeight="1">
      <c r="AK186" s="258">
        <v>11</v>
      </c>
    </row>
    <row r="187" spans="37:37" ht="11.45" customHeight="1">
      <c r="AK187" s="258">
        <v>11</v>
      </c>
    </row>
    <row r="188" spans="37:37" ht="11.45" customHeight="1">
      <c r="AK188" s="258">
        <v>11</v>
      </c>
    </row>
    <row r="189" spans="37:37" ht="11.45" customHeight="1">
      <c r="AK189" s="258">
        <v>11</v>
      </c>
    </row>
    <row r="190" spans="37:37" ht="11.45" customHeight="1">
      <c r="AK190" s="17">
        <v>11</v>
      </c>
    </row>
    <row r="191" spans="37:37" ht="11.45" customHeight="1">
      <c r="AK191" s="17">
        <v>11</v>
      </c>
    </row>
    <row r="192" spans="37:37" ht="11.45" customHeight="1">
      <c r="AK192" s="17">
        <v>11</v>
      </c>
    </row>
    <row r="193" spans="1:37" ht="11.45" customHeight="1">
      <c r="AK193" s="17">
        <v>11</v>
      </c>
    </row>
    <row r="194" spans="1:37" ht="11.45" customHeight="1">
      <c r="AK194" s="17">
        <v>11</v>
      </c>
    </row>
    <row r="195" spans="1:37" ht="11.45" customHeight="1">
      <c r="AK195" s="17">
        <v>11</v>
      </c>
    </row>
    <row r="196" spans="1:37" ht="11.45" customHeight="1">
      <c r="AK196" s="17">
        <v>11</v>
      </c>
    </row>
    <row r="197" spans="1:37" ht="11.45" customHeight="1">
      <c r="AK197" s="17">
        <v>11</v>
      </c>
    </row>
    <row r="198" spans="1:37" ht="11.45" customHeight="1">
      <c r="AK198" s="17">
        <v>11</v>
      </c>
    </row>
    <row r="199" spans="1:37" ht="11.45" customHeight="1">
      <c r="AK199" s="17">
        <v>11</v>
      </c>
    </row>
    <row r="200" spans="1:37" ht="11.45" customHeight="1">
      <c r="AK200" s="17">
        <v>11</v>
      </c>
    </row>
    <row r="201" spans="1:37" ht="11.45" customHeight="1">
      <c r="AK201" s="17">
        <v>11</v>
      </c>
    </row>
    <row r="202" spans="1:37" ht="11.45" customHeight="1">
      <c r="AK202" s="17">
        <v>11</v>
      </c>
    </row>
    <row r="203" spans="1:37" ht="11.45" customHeight="1">
      <c r="AK203" s="17">
        <v>11</v>
      </c>
    </row>
    <row r="204" spans="1:37" ht="12.75" hidden="1" customHeight="1">
      <c r="A204" s="492" t="s">
        <v>82</v>
      </c>
      <c r="B204" s="492" t="s">
        <v>152</v>
      </c>
      <c r="C204" s="492" t="s">
        <v>152</v>
      </c>
      <c r="D204" s="492" t="s">
        <v>152</v>
      </c>
      <c r="E204" s="492" t="s">
        <v>152</v>
      </c>
      <c r="F204" s="17">
        <v>16</v>
      </c>
      <c r="G204" s="75">
        <v>0</v>
      </c>
      <c r="H204" s="17">
        <v>3</v>
      </c>
      <c r="I204" s="17">
        <v>7</v>
      </c>
      <c r="J204" s="17">
        <v>56</v>
      </c>
      <c r="K204" s="17">
        <v>10</v>
      </c>
      <c r="L204" s="17">
        <v>40</v>
      </c>
      <c r="M204" s="17">
        <v>40</v>
      </c>
      <c r="N204" s="37">
        <v>9</v>
      </c>
      <c r="O204" s="17">
        <v>102</v>
      </c>
      <c r="P204" s="37">
        <v>9</v>
      </c>
      <c r="Q204" s="75">
        <v>5</v>
      </c>
      <c r="R204" s="75">
        <v>3</v>
      </c>
      <c r="S204" s="37">
        <v>3</v>
      </c>
      <c r="T204" s="37">
        <v>3</v>
      </c>
      <c r="U204" s="37">
        <v>3</v>
      </c>
      <c r="V204" s="37">
        <v>3</v>
      </c>
      <c r="W204" s="75">
        <v>10</v>
      </c>
      <c r="X204" s="37">
        <v>34</v>
      </c>
      <c r="Y204" s="37">
        <v>9</v>
      </c>
      <c r="Z204" s="493">
        <v>8</v>
      </c>
      <c r="AA204" s="37">
        <v>8</v>
      </c>
      <c r="AB204" s="37">
        <v>8</v>
      </c>
      <c r="AC204" s="37">
        <v>8</v>
      </c>
      <c r="AD204" s="37">
        <v>8</v>
      </c>
      <c r="AE204" s="37">
        <v>8</v>
      </c>
      <c r="AF204" s="15">
        <v>8</v>
      </c>
      <c r="AG204" s="15">
        <v>8</v>
      </c>
      <c r="AH204" s="15">
        <v>8</v>
      </c>
      <c r="AI204" s="15">
        <v>8</v>
      </c>
      <c r="AJ204" s="15">
        <v>8</v>
      </c>
      <c r="AK204" s="1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A70B-D3FE-EE8F-E5EE-BCB35DDDB8F4}">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hidden="1"/>
    <col min="5" max="7" width="9.140625" hidden="1" customWidth="1"/>
    <col min="8" max="8" width="3" customWidth="1"/>
    <col min="9" max="9" width="6" customWidth="1"/>
    <col min="10" max="10" width="63" customWidth="1"/>
    <col min="11" max="11" width="9" customWidth="1"/>
    <col min="12" max="12" width="39" customWidth="1"/>
    <col min="13" max="13" width="89" customWidth="1"/>
    <col min="14" max="22" width="10" customWidth="1"/>
    <col min="23" max="23" width="10.5703125" hidden="1"/>
  </cols>
  <sheetData>
    <row r="1" spans="1:23" ht="22.5" hidden="1" customHeight="1">
      <c r="W1" s="17" t="s">
        <v>14</v>
      </c>
    </row>
    <row r="2" spans="1:23" ht="22.5" hidden="1" customHeight="1">
      <c r="B2" s="507" t="s">
        <v>688</v>
      </c>
      <c r="C2" s="507" t="s">
        <v>689</v>
      </c>
      <c r="D2" s="508" t="s">
        <v>628</v>
      </c>
      <c r="E2" s="509">
        <f>I2-3</f>
        <v>-3</v>
      </c>
      <c r="F2" s="509">
        <f>J2</f>
        <v>0</v>
      </c>
      <c r="H2" s="526" t="s">
        <v>690</v>
      </c>
      <c r="I2" s="186"/>
      <c r="J2" s="221"/>
      <c r="K2" s="78" t="s">
        <v>307</v>
      </c>
      <c r="L2" s="287"/>
      <c r="M2" s="527"/>
      <c r="W2" s="17">
        <v>0</v>
      </c>
    </row>
    <row r="3" spans="1:23" ht="14.25" hidden="1" customHeight="1">
      <c r="W3" s="17">
        <v>0</v>
      </c>
    </row>
    <row r="4" spans="1:23" ht="6.4" customHeight="1">
      <c r="H4" s="333"/>
      <c r="I4" s="38"/>
      <c r="J4" s="38"/>
      <c r="K4" s="38"/>
      <c r="L4" s="528"/>
      <c r="M4" s="528"/>
      <c r="W4" s="17">
        <v>6</v>
      </c>
    </row>
    <row r="5" spans="1:23" ht="50.25" customHeight="1">
      <c r="H5" s="333"/>
      <c r="I5" s="1093" t="s">
        <v>691</v>
      </c>
      <c r="J5" s="1093"/>
      <c r="K5" s="1093"/>
      <c r="L5" s="1093"/>
      <c r="W5" s="17">
        <v>48</v>
      </c>
    </row>
    <row r="6" spans="1:23" ht="18" customHeight="1">
      <c r="H6" s="333"/>
      <c r="I6" s="1066" t="str">
        <f>IF(org=0,"Не определено",org)</f>
        <v>ООО "ТВС"</v>
      </c>
      <c r="J6" s="1066"/>
      <c r="K6" s="1066"/>
      <c r="L6" s="1066"/>
      <c r="W6" s="17">
        <v>17</v>
      </c>
    </row>
    <row r="7" spans="1:23" ht="14.65" customHeight="1">
      <c r="H7" s="333"/>
      <c r="I7" s="38"/>
      <c r="J7" s="31"/>
      <c r="K7" s="31"/>
      <c r="L7" s="184"/>
      <c r="M7" s="529"/>
      <c r="W7" s="17">
        <v>14</v>
      </c>
    </row>
    <row r="8" spans="1:23" ht="14.65" customHeight="1">
      <c r="H8" s="333"/>
      <c r="I8" s="1209" t="s">
        <v>301</v>
      </c>
      <c r="J8" s="1210"/>
      <c r="K8" s="1210"/>
      <c r="L8" s="1211"/>
      <c r="M8" s="1212" t="s">
        <v>302</v>
      </c>
      <c r="W8" s="17">
        <v>14</v>
      </c>
    </row>
    <row r="9" spans="1:23" ht="35.65" customHeight="1">
      <c r="E9" s="510" t="s">
        <v>619</v>
      </c>
      <c r="F9" s="510" t="s">
        <v>625</v>
      </c>
      <c r="H9" s="333"/>
      <c r="I9" s="189" t="s">
        <v>88</v>
      </c>
      <c r="J9" s="134" t="s">
        <v>303</v>
      </c>
      <c r="K9" s="246" t="s">
        <v>567</v>
      </c>
      <c r="L9" s="134" t="s">
        <v>304</v>
      </c>
      <c r="M9" s="1212"/>
      <c r="W9" s="17">
        <v>34</v>
      </c>
    </row>
    <row r="10" spans="1:23" ht="35.65" customHeight="1">
      <c r="B10" s="507" t="s">
        <v>692</v>
      </c>
      <c r="C10" s="507" t="s">
        <v>693</v>
      </c>
      <c r="D10" s="508" t="s">
        <v>628</v>
      </c>
      <c r="E10" s="509" t="s">
        <v>629</v>
      </c>
      <c r="F10" s="509" t="s">
        <v>629</v>
      </c>
      <c r="H10" s="333"/>
      <c r="I10" s="186" t="s">
        <v>110</v>
      </c>
      <c r="J10" s="532" t="s">
        <v>694</v>
      </c>
      <c r="K10" s="78" t="s">
        <v>307</v>
      </c>
      <c r="L10" s="477"/>
      <c r="M10" s="527" t="s">
        <v>695</v>
      </c>
      <c r="W10" s="17">
        <v>34</v>
      </c>
    </row>
    <row r="11" spans="1:23" ht="50.25" customHeight="1">
      <c r="B11" s="507" t="s">
        <v>696</v>
      </c>
      <c r="C11" s="507" t="s">
        <v>697</v>
      </c>
      <c r="D11" s="508" t="s">
        <v>628</v>
      </c>
      <c r="E11" s="509" t="s">
        <v>629</v>
      </c>
      <c r="F11" s="509" t="s">
        <v>629</v>
      </c>
      <c r="H11" s="333"/>
      <c r="I11" s="186" t="s">
        <v>111</v>
      </c>
      <c r="J11" s="532" t="s">
        <v>698</v>
      </c>
      <c r="K11" s="78" t="s">
        <v>307</v>
      </c>
      <c r="L11" s="477"/>
      <c r="M11" s="527" t="s">
        <v>695</v>
      </c>
      <c r="W11" s="17">
        <v>48</v>
      </c>
    </row>
    <row r="12" spans="1:23" ht="48.2" customHeight="1">
      <c r="B12" s="507" t="s">
        <v>699</v>
      </c>
      <c r="C12" s="507" t="s">
        <v>700</v>
      </c>
      <c r="D12" s="508" t="s">
        <v>628</v>
      </c>
      <c r="E12" s="509" t="s">
        <v>629</v>
      </c>
      <c r="F12" s="509" t="s">
        <v>629</v>
      </c>
      <c r="H12" s="220"/>
      <c r="I12" s="186" t="s">
        <v>90</v>
      </c>
      <c r="J12" s="533" t="s">
        <v>701</v>
      </c>
      <c r="K12" s="78" t="s">
        <v>307</v>
      </c>
      <c r="L12" s="477"/>
      <c r="M12" s="527" t="s">
        <v>702</v>
      </c>
      <c r="W12" s="17">
        <v>46</v>
      </c>
    </row>
    <row r="13" spans="1:23" ht="14.65" customHeight="1">
      <c r="H13" s="333"/>
      <c r="I13" s="534"/>
      <c r="J13" s="105" t="s">
        <v>703</v>
      </c>
      <c r="K13" s="132"/>
      <c r="L13" s="535"/>
      <c r="M13" s="527"/>
      <c r="W13" s="17">
        <v>14</v>
      </c>
    </row>
    <row r="14" spans="1:23" ht="14.65" customHeight="1">
      <c r="H14" s="333"/>
      <c r="I14" s="494"/>
      <c r="J14" s="536"/>
      <c r="K14" s="537"/>
      <c r="L14" s="538"/>
      <c r="W14" s="17">
        <v>14</v>
      </c>
    </row>
    <row r="15" spans="1:23" ht="14.65" customHeight="1">
      <c r="J15" s="964"/>
      <c r="K15" s="964"/>
      <c r="L15" s="964"/>
      <c r="M15" s="964"/>
      <c r="W15" s="17">
        <v>14</v>
      </c>
    </row>
    <row r="16" spans="1:23" ht="21" hidden="1" customHeight="1">
      <c r="A16" s="356" t="s">
        <v>82</v>
      </c>
      <c r="B16" s="17">
        <v>9</v>
      </c>
      <c r="C16" s="17">
        <v>9</v>
      </c>
      <c r="D16" s="17">
        <v>9</v>
      </c>
      <c r="E16" s="356" t="s">
        <v>151</v>
      </c>
      <c r="F16" s="356" t="s">
        <v>151</v>
      </c>
      <c r="H16" s="357">
        <v>3</v>
      </c>
      <c r="I16" s="17">
        <v>6</v>
      </c>
      <c r="J16" s="17">
        <v>63</v>
      </c>
      <c r="K16" s="17">
        <v>9</v>
      </c>
      <c r="L16" s="17">
        <v>39</v>
      </c>
      <c r="M16" s="17">
        <v>89</v>
      </c>
      <c r="N16" s="17">
        <v>10</v>
      </c>
      <c r="O16" s="87">
        <v>10</v>
      </c>
      <c r="P16" s="87">
        <v>10</v>
      </c>
      <c r="Q16" s="17">
        <v>10</v>
      </c>
      <c r="R16" s="17">
        <v>10</v>
      </c>
      <c r="S16" s="17">
        <v>10</v>
      </c>
      <c r="T16" s="17">
        <v>10</v>
      </c>
      <c r="U16" s="17">
        <v>10</v>
      </c>
      <c r="V16" s="17">
        <v>10</v>
      </c>
      <c r="W16" s="1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86B7-9C2C-DAC5-5BDC-61A66FE08CD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hidden="1" customWidth="1"/>
    <col min="2" max="2" width="16.85546875" hidden="1" customWidth="1"/>
    <col min="3" max="3" width="5.5703125" hidden="1" customWidth="1"/>
    <col min="4" max="4" width="3" customWidth="1"/>
    <col min="5" max="5" width="7" customWidth="1"/>
    <col min="6" max="6" width="56" customWidth="1"/>
    <col min="7" max="7" width="10" customWidth="1"/>
    <col min="8" max="8" width="40.7109375" hidden="1" customWidth="1"/>
    <col min="9" max="9" width="40"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10.42578125" hidden="1" customWidth="1"/>
  </cols>
  <sheetData>
    <row r="1" spans="5:32" ht="22.5" hidden="1" customHeight="1">
      <c r="H1" s="37">
        <v>4</v>
      </c>
      <c r="I1" s="37">
        <v>4</v>
      </c>
      <c r="AF1" s="37" t="s">
        <v>14</v>
      </c>
    </row>
    <row r="2" spans="5:32" ht="22.5" hidden="1" customHeight="1">
      <c r="E2" s="88"/>
      <c r="F2" s="90"/>
      <c r="G2" s="88" t="s">
        <v>553</v>
      </c>
      <c r="H2" s="312"/>
      <c r="I2" s="312"/>
      <c r="J2" s="445" t="s">
        <v>704</v>
      </c>
      <c r="AF2" s="37">
        <v>0</v>
      </c>
    </row>
    <row r="3" spans="5:32" ht="11.25" hidden="1" customHeight="1">
      <c r="AF3" s="17">
        <v>0</v>
      </c>
    </row>
    <row r="4" spans="5:32" ht="11.25" hidden="1" customHeight="1">
      <c r="J4" s="15">
        <v>4</v>
      </c>
      <c r="AF4" s="15">
        <v>0</v>
      </c>
    </row>
    <row r="5" spans="5:32" ht="11.45" customHeight="1">
      <c r="AF5" s="17">
        <v>11</v>
      </c>
    </row>
    <row r="6" spans="5:32" ht="31.5" customHeight="1">
      <c r="E6" s="1045" t="s">
        <v>705</v>
      </c>
      <c r="F6" s="1045"/>
      <c r="G6" s="1045"/>
      <c r="H6" s="1045"/>
      <c r="I6" s="1045"/>
      <c r="AF6" s="17">
        <v>30</v>
      </c>
    </row>
    <row r="7" spans="5:32" ht="11.45" customHeight="1">
      <c r="E7" s="1066" t="str">
        <f>IF(org=0,"Не определено",org)</f>
        <v>ООО "ТВС"</v>
      </c>
      <c r="F7" s="1066"/>
      <c r="G7" s="1066"/>
      <c r="H7" s="1066"/>
      <c r="I7" s="1066"/>
      <c r="AF7" s="17">
        <v>11</v>
      </c>
    </row>
    <row r="8" spans="5:32" ht="11.45" customHeight="1">
      <c r="AF8" s="17">
        <v>11</v>
      </c>
    </row>
    <row r="9" spans="5:32" ht="4.1500000000000004" customHeight="1">
      <c r="H9" s="448"/>
      <c r="I9" s="448" t="s">
        <v>119</v>
      </c>
      <c r="AF9" s="75">
        <v>4</v>
      </c>
    </row>
    <row r="10" spans="5:32" ht="11.45" customHeight="1">
      <c r="E10" s="449"/>
      <c r="F10" s="1197" t="s">
        <v>106</v>
      </c>
      <c r="G10" s="1198"/>
      <c r="H10" s="452" t="str">
        <f>IF(H9="","",INDEX(DIFFERENTIATION_UNMERGE_VD,MATCH(H9,DIFFERENTIATION_ID_DIFF,0)))</f>
        <v/>
      </c>
      <c r="I10" s="452" t="str">
        <f>IF(I9="","",INDEX(DIFFERENTIATION_UNMERGE_VD,MATCH(I9,DIFFERENTIATION_ID_DIFF,0)))</f>
        <v>Подключение (технологическое присоединение) к системе теплоснабжения</v>
      </c>
      <c r="J10" s="995"/>
      <c r="AF10" s="17">
        <v>11</v>
      </c>
    </row>
    <row r="11" spans="5:32" ht="11.45" customHeight="1">
      <c r="E11" s="449"/>
      <c r="F11" s="1197" t="s">
        <v>565</v>
      </c>
      <c r="G11" s="1198"/>
      <c r="H11" s="452" t="str">
        <f>IF(H9="","",INDEX(DIFFERENTIATION_UNMERGE_AREA,MATCH(H9,DIFFERENTIATION_ID_DIFF,0)))</f>
        <v/>
      </c>
      <c r="I11" s="452" t="str">
        <f>IF(I9="","",INDEX(DIFFERENTIATION_UNMERGE_AREA,MATCH(I9,DIFFERENTIATION_ID_DIFF,0)))</f>
        <v>Территория 1</v>
      </c>
      <c r="J11" s="995"/>
      <c r="AF11" s="17">
        <v>11</v>
      </c>
    </row>
    <row r="12" spans="5:32" ht="1.1499999999999999" customHeight="1">
      <c r="E12" s="512"/>
      <c r="F12" s="1213" t="s">
        <v>566</v>
      </c>
      <c r="G12" s="1214"/>
      <c r="H12" s="539" t="str">
        <f>IF(H9="","",INDEX(DIFFERENTIATION_UNMERGE_SYSTEM,MATCH(H9,DIFFERENTIATION_ID_DIFF,0)))</f>
        <v/>
      </c>
      <c r="I12" s="539"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995"/>
      <c r="AF12" s="17">
        <v>1</v>
      </c>
    </row>
    <row r="13" spans="5:32" ht="11.45" customHeight="1">
      <c r="E13" s="1199" t="s">
        <v>301</v>
      </c>
      <c r="F13" s="1200"/>
      <c r="G13" s="1200"/>
      <c r="H13" s="450"/>
      <c r="I13" s="450"/>
      <c r="J13" s="995"/>
      <c r="AF13" s="17">
        <v>11</v>
      </c>
    </row>
    <row r="14" spans="5:32" ht="24" customHeight="1">
      <c r="E14" s="88" t="s">
        <v>88</v>
      </c>
      <c r="F14" s="88" t="s">
        <v>303</v>
      </c>
      <c r="G14" s="88" t="s">
        <v>567</v>
      </c>
      <c r="H14" s="88" t="s">
        <v>304</v>
      </c>
      <c r="I14" s="88" t="s">
        <v>304</v>
      </c>
      <c r="J14" s="995"/>
      <c r="AF14" s="17">
        <v>23</v>
      </c>
    </row>
    <row r="15" spans="5:32" ht="19.899999999999999" customHeight="1">
      <c r="E15" s="514" t="s">
        <v>110</v>
      </c>
      <c r="F15" s="165" t="s">
        <v>706</v>
      </c>
      <c r="G15" s="88" t="s">
        <v>553</v>
      </c>
      <c r="H15" s="453"/>
      <c r="I15" s="453"/>
      <c r="J15" s="296" t="s">
        <v>707</v>
      </c>
      <c r="K15" s="516" t="s">
        <v>631</v>
      </c>
      <c r="AF15" s="17">
        <v>19</v>
      </c>
    </row>
    <row r="16" spans="5:32" ht="35.65" customHeight="1">
      <c r="E16" s="514" t="s">
        <v>111</v>
      </c>
      <c r="F16" s="165" t="s">
        <v>708</v>
      </c>
      <c r="G16" s="88" t="s">
        <v>553</v>
      </c>
      <c r="H16" s="454">
        <f>SUM(H17,H20:H32)</f>
        <v>0</v>
      </c>
      <c r="I16" s="454">
        <f>SUM(I17,I20,I23,I26,I29:I32)</f>
        <v>0</v>
      </c>
      <c r="J16" s="296" t="s">
        <v>709</v>
      </c>
      <c r="K16" s="516" t="s">
        <v>631</v>
      </c>
      <c r="AF16" s="17">
        <v>34</v>
      </c>
    </row>
    <row r="17" spans="5:32" ht="19.899999999999999" customHeight="1">
      <c r="E17" s="521" t="s">
        <v>710</v>
      </c>
      <c r="F17" s="421" t="s">
        <v>711</v>
      </c>
      <c r="G17" s="21" t="s">
        <v>553</v>
      </c>
      <c r="H17" s="453"/>
      <c r="I17" s="453"/>
      <c r="J17" s="296" t="s">
        <v>712</v>
      </c>
      <c r="AF17" s="17">
        <v>19</v>
      </c>
    </row>
    <row r="18" spans="5:32" ht="24" customHeight="1">
      <c r="E18" s="521" t="s">
        <v>713</v>
      </c>
      <c r="F18" s="465" t="s">
        <v>714</v>
      </c>
      <c r="G18" s="21" t="s">
        <v>553</v>
      </c>
      <c r="H18" s="453"/>
      <c r="I18" s="453"/>
      <c r="J18" s="296" t="s">
        <v>715</v>
      </c>
      <c r="AF18" s="17">
        <v>23</v>
      </c>
    </row>
    <row r="19" spans="5:32" ht="35.65" customHeight="1">
      <c r="E19" s="521" t="s">
        <v>716</v>
      </c>
      <c r="F19" s="465" t="s">
        <v>717</v>
      </c>
      <c r="G19" s="21" t="s">
        <v>553</v>
      </c>
      <c r="H19" s="453"/>
      <c r="I19" s="453"/>
      <c r="J19" s="296"/>
      <c r="AF19" s="17">
        <v>34</v>
      </c>
    </row>
    <row r="20" spans="5:32" ht="19.899999999999999" customHeight="1">
      <c r="E20" s="521" t="s">
        <v>308</v>
      </c>
      <c r="F20" s="421" t="s">
        <v>718</v>
      </c>
      <c r="G20" s="21" t="s">
        <v>553</v>
      </c>
      <c r="H20" s="453"/>
      <c r="I20" s="453"/>
      <c r="J20" s="296" t="s">
        <v>719</v>
      </c>
      <c r="AF20" s="17">
        <v>19</v>
      </c>
    </row>
    <row r="21" spans="5:32" ht="19.899999999999999" customHeight="1">
      <c r="E21" s="521" t="s">
        <v>720</v>
      </c>
      <c r="F21" s="465" t="s">
        <v>721</v>
      </c>
      <c r="G21" s="21" t="s">
        <v>553</v>
      </c>
      <c r="H21" s="453"/>
      <c r="I21" s="453"/>
      <c r="J21" s="296"/>
      <c r="AF21" s="17">
        <v>19</v>
      </c>
    </row>
    <row r="22" spans="5:32" ht="19.899999999999999" customHeight="1">
      <c r="E22" s="521" t="s">
        <v>722</v>
      </c>
      <c r="F22" s="465" t="s">
        <v>723</v>
      </c>
      <c r="G22" s="21" t="s">
        <v>553</v>
      </c>
      <c r="H22" s="453"/>
      <c r="I22" s="453"/>
      <c r="J22" s="296"/>
      <c r="AF22" s="17">
        <v>19</v>
      </c>
    </row>
    <row r="23" spans="5:32" ht="24" customHeight="1">
      <c r="E23" s="521" t="s">
        <v>311</v>
      </c>
      <c r="F23" s="421" t="s">
        <v>724</v>
      </c>
      <c r="G23" s="21" t="s">
        <v>553</v>
      </c>
      <c r="H23" s="453"/>
      <c r="I23" s="453"/>
      <c r="J23" s="296" t="s">
        <v>725</v>
      </c>
      <c r="AF23" s="17">
        <v>23</v>
      </c>
    </row>
    <row r="24" spans="5:32" ht="19.899999999999999" customHeight="1">
      <c r="E24" s="521" t="s">
        <v>726</v>
      </c>
      <c r="F24" s="465" t="s">
        <v>727</v>
      </c>
      <c r="G24" s="21" t="s">
        <v>553</v>
      </c>
      <c r="H24" s="453"/>
      <c r="I24" s="453"/>
      <c r="J24" s="296"/>
      <c r="AF24" s="17">
        <v>19</v>
      </c>
    </row>
    <row r="25" spans="5:32" ht="35.65" customHeight="1">
      <c r="E25" s="521" t="s">
        <v>728</v>
      </c>
      <c r="F25" s="465" t="s">
        <v>729</v>
      </c>
      <c r="G25" s="21" t="s">
        <v>553</v>
      </c>
      <c r="H25" s="453"/>
      <c r="I25" s="453"/>
      <c r="J25" s="296"/>
      <c r="AF25" s="17">
        <v>34</v>
      </c>
    </row>
    <row r="26" spans="5:32" ht="24" customHeight="1">
      <c r="E26" s="521" t="s">
        <v>730</v>
      </c>
      <c r="F26" s="421" t="s">
        <v>731</v>
      </c>
      <c r="G26" s="21" t="s">
        <v>553</v>
      </c>
      <c r="H26" s="453"/>
      <c r="I26" s="453"/>
      <c r="J26" s="296" t="s">
        <v>732</v>
      </c>
      <c r="AF26" s="17">
        <v>23</v>
      </c>
    </row>
    <row r="27" spans="5:32" ht="19.899999999999999" customHeight="1">
      <c r="E27" s="523" t="s">
        <v>733</v>
      </c>
      <c r="F27" s="465" t="s">
        <v>734</v>
      </c>
      <c r="G27" s="21" t="s">
        <v>553</v>
      </c>
      <c r="H27" s="519"/>
      <c r="I27" s="519"/>
      <c r="J27" s="296"/>
      <c r="AF27" s="17">
        <v>19</v>
      </c>
    </row>
    <row r="28" spans="5:32" ht="19.899999999999999" customHeight="1">
      <c r="E28" s="523" t="s">
        <v>735</v>
      </c>
      <c r="F28" s="465" t="s">
        <v>736</v>
      </c>
      <c r="G28" s="21" t="s">
        <v>553</v>
      </c>
      <c r="H28" s="519"/>
      <c r="I28" s="519"/>
      <c r="J28" s="296"/>
      <c r="AF28" s="17">
        <v>19</v>
      </c>
    </row>
    <row r="29" spans="5:32" ht="19.899999999999999" customHeight="1">
      <c r="E29" s="523" t="s">
        <v>737</v>
      </c>
      <c r="F29" s="421" t="s">
        <v>738</v>
      </c>
      <c r="G29" s="21" t="s">
        <v>553</v>
      </c>
      <c r="H29" s="519"/>
      <c r="I29" s="519"/>
      <c r="J29" s="296"/>
      <c r="AF29" s="17">
        <v>19</v>
      </c>
    </row>
    <row r="30" spans="5:32" ht="19.899999999999999" customHeight="1">
      <c r="E30" s="523" t="s">
        <v>739</v>
      </c>
      <c r="F30" s="421" t="s">
        <v>740</v>
      </c>
      <c r="G30" s="21" t="s">
        <v>553</v>
      </c>
      <c r="H30" s="519"/>
      <c r="I30" s="519"/>
      <c r="J30" s="296"/>
      <c r="AF30" s="17">
        <v>19</v>
      </c>
    </row>
    <row r="31" spans="5:32" ht="19.899999999999999" customHeight="1">
      <c r="E31" s="523" t="s">
        <v>741</v>
      </c>
      <c r="F31" s="421" t="s">
        <v>742</v>
      </c>
      <c r="G31" s="21" t="s">
        <v>553</v>
      </c>
      <c r="H31" s="519"/>
      <c r="I31" s="519"/>
      <c r="J31" s="296"/>
      <c r="AF31" s="17">
        <v>19</v>
      </c>
    </row>
    <row r="32" spans="5:32" ht="35.65" customHeight="1">
      <c r="E32" s="523" t="s">
        <v>743</v>
      </c>
      <c r="F32" s="421" t="s">
        <v>744</v>
      </c>
      <c r="G32" s="161" t="s">
        <v>553</v>
      </c>
      <c r="H32" s="469">
        <f>SUM(H33:H34)</f>
        <v>0</v>
      </c>
      <c r="I32" s="469">
        <f>SUM(I33:I34)</f>
        <v>0</v>
      </c>
      <c r="J32" s="296" t="s">
        <v>745</v>
      </c>
      <c r="AF32" s="37">
        <v>34</v>
      </c>
    </row>
    <row r="33" spans="1:32" ht="1.1499999999999999" customHeight="1">
      <c r="E33" s="89" t="str">
        <f>E32&amp;".0"</f>
        <v>2.8.0</v>
      </c>
      <c r="F33" s="470"/>
      <c r="G33" s="89"/>
      <c r="H33" s="471"/>
      <c r="I33" s="471"/>
      <c r="J33" s="472"/>
      <c r="AF33" s="75">
        <v>1</v>
      </c>
    </row>
    <row r="34" spans="1:32" ht="19.899999999999999" customHeight="1">
      <c r="E34" s="462"/>
      <c r="F34" s="540" t="s">
        <v>578</v>
      </c>
      <c r="G34" s="463"/>
      <c r="H34" s="464"/>
      <c r="I34" s="464"/>
      <c r="J34" s="341" t="s">
        <v>746</v>
      </c>
      <c r="AF34" s="37">
        <v>19</v>
      </c>
    </row>
    <row r="35" spans="1:32" ht="60" customHeight="1">
      <c r="E35" s="523" t="s">
        <v>747</v>
      </c>
      <c r="F35" s="421" t="s">
        <v>748</v>
      </c>
      <c r="G35" s="21" t="s">
        <v>553</v>
      </c>
      <c r="H35" s="519"/>
      <c r="I35" s="519"/>
      <c r="J35" s="296" t="s">
        <v>749</v>
      </c>
      <c r="AF35" s="17">
        <v>57</v>
      </c>
    </row>
    <row r="36" spans="1:32" ht="24" customHeight="1">
      <c r="A36" s="466" t="s">
        <v>579</v>
      </c>
      <c r="E36" s="521" t="s">
        <v>90</v>
      </c>
      <c r="F36" s="165" t="s">
        <v>750</v>
      </c>
      <c r="G36" s="21" t="s">
        <v>553</v>
      </c>
      <c r="H36" s="453"/>
      <c r="I36" s="453"/>
      <c r="J36" s="296" t="s">
        <v>751</v>
      </c>
      <c r="AF36" s="37">
        <v>23</v>
      </c>
    </row>
    <row r="37" spans="1:32" ht="35.65" customHeight="1">
      <c r="A37" s="466"/>
      <c r="E37" s="521" t="s">
        <v>325</v>
      </c>
      <c r="F37" s="421" t="s">
        <v>752</v>
      </c>
      <c r="G37" s="21"/>
      <c r="H37" s="453"/>
      <c r="I37" s="453"/>
      <c r="J37" s="296"/>
      <c r="AF37" s="37">
        <v>34</v>
      </c>
    </row>
    <row r="38" spans="1:32" ht="19.899999999999999" customHeight="1">
      <c r="E38" s="521" t="s">
        <v>91</v>
      </c>
      <c r="F38" s="165" t="s">
        <v>753</v>
      </c>
      <c r="G38" s="21" t="s">
        <v>553</v>
      </c>
      <c r="H38" s="453"/>
      <c r="I38" s="453"/>
      <c r="J38" s="296" t="s">
        <v>754</v>
      </c>
      <c r="AF38" s="37">
        <v>19</v>
      </c>
    </row>
    <row r="39" spans="1:32" ht="24" customHeight="1">
      <c r="E39" s="521" t="s">
        <v>755</v>
      </c>
      <c r="F39" s="421" t="s">
        <v>756</v>
      </c>
      <c r="G39" s="21" t="s">
        <v>553</v>
      </c>
      <c r="H39" s="453"/>
      <c r="I39" s="453"/>
      <c r="J39" s="296" t="s">
        <v>757</v>
      </c>
      <c r="AF39" s="37">
        <v>23</v>
      </c>
    </row>
    <row r="40" spans="1:32" ht="24" customHeight="1">
      <c r="E40" s="521" t="s">
        <v>758</v>
      </c>
      <c r="F40" s="465" t="s">
        <v>759</v>
      </c>
      <c r="G40" s="21" t="s">
        <v>553</v>
      </c>
      <c r="H40" s="453"/>
      <c r="I40" s="453"/>
      <c r="J40" s="296" t="s">
        <v>760</v>
      </c>
      <c r="AF40" s="37">
        <v>23</v>
      </c>
    </row>
    <row r="41" spans="1:32" ht="24" customHeight="1">
      <c r="E41" s="521" t="s">
        <v>761</v>
      </c>
      <c r="F41" s="465" t="s">
        <v>762</v>
      </c>
      <c r="G41" s="21" t="s">
        <v>553</v>
      </c>
      <c r="H41" s="453"/>
      <c r="I41" s="453"/>
      <c r="J41" s="296" t="s">
        <v>763</v>
      </c>
      <c r="AF41" s="37">
        <v>23</v>
      </c>
    </row>
    <row r="42" spans="1:32" ht="24" customHeight="1">
      <c r="E42" s="521" t="s">
        <v>764</v>
      </c>
      <c r="F42" s="465" t="s">
        <v>765</v>
      </c>
      <c r="G42" s="21" t="s">
        <v>553</v>
      </c>
      <c r="H42" s="453"/>
      <c r="I42" s="453"/>
      <c r="J42" s="296" t="s">
        <v>766</v>
      </c>
      <c r="AF42" s="37">
        <v>23</v>
      </c>
    </row>
    <row r="43" spans="1:32" ht="35.65" customHeight="1">
      <c r="C43" s="75" t="s">
        <v>589</v>
      </c>
      <c r="E43" s="521" t="s">
        <v>112</v>
      </c>
      <c r="F43" s="165" t="s">
        <v>630</v>
      </c>
      <c r="G43" s="88" t="s">
        <v>767</v>
      </c>
      <c r="H43" s="477"/>
      <c r="I43" s="477"/>
      <c r="J43" s="296" t="s">
        <v>768</v>
      </c>
      <c r="AF43" s="37">
        <v>34</v>
      </c>
    </row>
    <row r="44" spans="1:32" ht="35.65" customHeight="1">
      <c r="E44" s="521" t="s">
        <v>92</v>
      </c>
      <c r="F44" s="165" t="s">
        <v>769</v>
      </c>
      <c r="G44" s="21" t="s">
        <v>770</v>
      </c>
      <c r="H44" s="446"/>
      <c r="I44" s="446"/>
      <c r="J44" s="296" t="s">
        <v>771</v>
      </c>
      <c r="AF44" s="37">
        <v>34</v>
      </c>
    </row>
    <row r="45" spans="1:32" ht="24" customHeight="1">
      <c r="E45" s="521" t="s">
        <v>93</v>
      </c>
      <c r="F45" s="165" t="s">
        <v>772</v>
      </c>
      <c r="G45" s="21" t="s">
        <v>773</v>
      </c>
      <c r="H45" s="446"/>
      <c r="I45" s="446"/>
      <c r="J45" s="296" t="s">
        <v>774</v>
      </c>
      <c r="AF45" s="37">
        <v>23</v>
      </c>
    </row>
    <row r="46" spans="1:32" ht="19.899999999999999" customHeight="1">
      <c r="E46" s="521" t="s">
        <v>113</v>
      </c>
      <c r="F46" s="165" t="s">
        <v>775</v>
      </c>
      <c r="G46" s="21" t="s">
        <v>591</v>
      </c>
      <c r="H46" s="467"/>
      <c r="I46" s="467"/>
      <c r="J46" s="296"/>
      <c r="AF46" s="37">
        <v>19</v>
      </c>
    </row>
    <row r="47" spans="1:32" ht="11.45" customHeight="1">
      <c r="AF47" s="17">
        <v>11</v>
      </c>
    </row>
    <row r="48" spans="1:32" ht="11.45" customHeight="1">
      <c r="AF48" s="258">
        <v>11</v>
      </c>
    </row>
    <row r="49" spans="32:32" ht="11.45" customHeight="1">
      <c r="AF49" s="258">
        <v>11</v>
      </c>
    </row>
    <row r="50" spans="32:32" ht="11.45" customHeight="1">
      <c r="AF50" s="258">
        <v>11</v>
      </c>
    </row>
    <row r="51" spans="32:32" ht="11.45" customHeight="1">
      <c r="AF51" s="258">
        <v>11</v>
      </c>
    </row>
    <row r="52" spans="32:32" ht="11.45" customHeight="1">
      <c r="AF52" s="258">
        <v>11</v>
      </c>
    </row>
    <row r="53" spans="32:32" ht="11.45" customHeight="1">
      <c r="AF53" s="258">
        <v>11</v>
      </c>
    </row>
    <row r="54" spans="32:32" ht="11.45" customHeight="1">
      <c r="AF54" s="258">
        <v>11</v>
      </c>
    </row>
    <row r="55" spans="32:32" ht="11.45" customHeight="1">
      <c r="AF55" s="258">
        <v>11</v>
      </c>
    </row>
    <row r="56" spans="32:32" ht="11.45" customHeight="1">
      <c r="AF56" s="258">
        <v>11</v>
      </c>
    </row>
    <row r="57" spans="32:32" ht="11.45" customHeight="1">
      <c r="AF57" s="258">
        <v>11</v>
      </c>
    </row>
    <row r="58" spans="32:32" ht="11.45" customHeight="1">
      <c r="AF58" s="258">
        <v>11</v>
      </c>
    </row>
    <row r="59" spans="32:32" ht="11.45" customHeight="1">
      <c r="AF59" s="258">
        <v>11</v>
      </c>
    </row>
    <row r="60" spans="32:32" ht="11.45" customHeight="1">
      <c r="AF60" s="258">
        <v>11</v>
      </c>
    </row>
    <row r="61" spans="32:32" ht="11.45" customHeight="1">
      <c r="AF61" s="258">
        <v>11</v>
      </c>
    </row>
    <row r="62" spans="32:32" ht="11.45" customHeight="1">
      <c r="AF62" s="258">
        <v>11</v>
      </c>
    </row>
    <row r="63" spans="32:32" ht="11.45" customHeight="1">
      <c r="AF63" s="258">
        <v>11</v>
      </c>
    </row>
    <row r="64" spans="32:32" ht="11.45" customHeight="1">
      <c r="AF64" s="258">
        <v>11</v>
      </c>
    </row>
    <row r="65" spans="32:32" ht="11.45" customHeight="1">
      <c r="AF65" s="258">
        <v>11</v>
      </c>
    </row>
    <row r="66" spans="32:32" ht="11.45" customHeight="1">
      <c r="AF66" s="258">
        <v>11</v>
      </c>
    </row>
    <row r="67" spans="32:32" ht="11.45" customHeight="1">
      <c r="AF67" s="258">
        <v>11</v>
      </c>
    </row>
    <row r="68" spans="32:32" ht="11.45" customHeight="1">
      <c r="AF68" s="258">
        <v>11</v>
      </c>
    </row>
    <row r="69" spans="32:32" ht="11.45" customHeight="1">
      <c r="AF69" s="258">
        <v>11</v>
      </c>
    </row>
    <row r="70" spans="32:32" ht="11.45" customHeight="1">
      <c r="AF70" s="258">
        <v>11</v>
      </c>
    </row>
    <row r="71" spans="32:32" ht="11.45" customHeight="1">
      <c r="AF71" s="258">
        <v>11</v>
      </c>
    </row>
    <row r="72" spans="32:32" ht="11.45" customHeight="1">
      <c r="AF72" s="258">
        <v>11</v>
      </c>
    </row>
    <row r="73" spans="32:32" ht="11.45" customHeight="1">
      <c r="AF73" s="258">
        <v>11</v>
      </c>
    </row>
    <row r="74" spans="32:32" ht="11.45" customHeight="1">
      <c r="AF74" s="258">
        <v>11</v>
      </c>
    </row>
    <row r="75" spans="32:32" ht="11.45" customHeight="1">
      <c r="AF75" s="258">
        <v>11</v>
      </c>
    </row>
    <row r="76" spans="32:32" ht="11.45" customHeight="1">
      <c r="AF76" s="258">
        <v>11</v>
      </c>
    </row>
    <row r="77" spans="32:32" ht="11.45" customHeight="1">
      <c r="AF77" s="258">
        <v>11</v>
      </c>
    </row>
    <row r="78" spans="32:32" ht="11.45" customHeight="1">
      <c r="AF78" s="258">
        <v>11</v>
      </c>
    </row>
    <row r="79" spans="32:32" ht="11.45" customHeight="1">
      <c r="AF79" s="258">
        <v>11</v>
      </c>
    </row>
    <row r="80" spans="32:32" ht="11.45" customHeight="1">
      <c r="AF80" s="258">
        <v>11</v>
      </c>
    </row>
    <row r="81" spans="32:32" ht="11.45" customHeight="1">
      <c r="AF81" s="258">
        <v>11</v>
      </c>
    </row>
    <row r="82" spans="32:32" ht="11.45" customHeight="1">
      <c r="AF82" s="258">
        <v>11</v>
      </c>
    </row>
    <row r="83" spans="32:32" ht="11.45" customHeight="1">
      <c r="AF83" s="258">
        <v>11</v>
      </c>
    </row>
    <row r="84" spans="32:32" ht="11.45" customHeight="1">
      <c r="AF84" s="258">
        <v>11</v>
      </c>
    </row>
    <row r="85" spans="32:32" ht="11.45" customHeight="1">
      <c r="AF85" s="258">
        <v>11</v>
      </c>
    </row>
    <row r="86" spans="32:32" ht="11.45" customHeight="1">
      <c r="AF86" s="258">
        <v>11</v>
      </c>
    </row>
    <row r="87" spans="32:32" ht="11.45" customHeight="1">
      <c r="AF87" s="258">
        <v>11</v>
      </c>
    </row>
    <row r="88" spans="32:32" ht="11.45" customHeight="1">
      <c r="AF88" s="258">
        <v>11</v>
      </c>
    </row>
    <row r="89" spans="32:32" ht="11.45" customHeight="1">
      <c r="AF89" s="258">
        <v>11</v>
      </c>
    </row>
    <row r="90" spans="32:32" ht="11.45" customHeight="1">
      <c r="AF90" s="258">
        <v>11</v>
      </c>
    </row>
    <row r="91" spans="32:32" ht="11.45" customHeight="1">
      <c r="AF91" s="258">
        <v>11</v>
      </c>
    </row>
    <row r="92" spans="32:32" ht="11.45" customHeight="1">
      <c r="AF92" s="258">
        <v>11</v>
      </c>
    </row>
    <row r="93" spans="32:32" ht="11.45" customHeight="1">
      <c r="AF93" s="258">
        <v>11</v>
      </c>
    </row>
    <row r="94" spans="32:32" ht="11.45" customHeight="1">
      <c r="AF94" s="258">
        <v>11</v>
      </c>
    </row>
    <row r="95" spans="32:32" ht="11.45" customHeight="1">
      <c r="AF95" s="258">
        <v>11</v>
      </c>
    </row>
    <row r="96" spans="32:32" ht="11.45" customHeight="1">
      <c r="AF96" s="258">
        <v>11</v>
      </c>
    </row>
    <row r="97" spans="32:32" ht="11.45" customHeight="1">
      <c r="AF97" s="258">
        <v>11</v>
      </c>
    </row>
    <row r="98" spans="32:32" ht="11.45" customHeight="1">
      <c r="AF98" s="258">
        <v>11</v>
      </c>
    </row>
    <row r="99" spans="32:32" ht="11.45" customHeight="1">
      <c r="AF99" s="258">
        <v>11</v>
      </c>
    </row>
    <row r="100" spans="32:32" ht="11.45" customHeight="1">
      <c r="AF100" s="258">
        <v>11</v>
      </c>
    </row>
    <row r="101" spans="32:32" ht="11.45" customHeight="1">
      <c r="AF101" s="258">
        <v>11</v>
      </c>
    </row>
    <row r="102" spans="32:32" ht="11.45" customHeight="1">
      <c r="AF102" s="258">
        <v>11</v>
      </c>
    </row>
    <row r="103" spans="32:32" ht="11.45" customHeight="1">
      <c r="AF103" s="258">
        <v>11</v>
      </c>
    </row>
    <row r="104" spans="32:32" ht="11.45" customHeight="1">
      <c r="AF104" s="258">
        <v>11</v>
      </c>
    </row>
    <row r="105" spans="32:32" ht="11.45" customHeight="1">
      <c r="AF105" s="258">
        <v>11</v>
      </c>
    </row>
    <row r="106" spans="32:32" ht="11.45" customHeight="1">
      <c r="AF106" s="258">
        <v>11</v>
      </c>
    </row>
    <row r="107" spans="32:32" ht="11.45" customHeight="1">
      <c r="AF107" s="258">
        <v>11</v>
      </c>
    </row>
    <row r="108" spans="32:32" ht="11.45" customHeight="1">
      <c r="AF108" s="258">
        <v>11</v>
      </c>
    </row>
    <row r="109" spans="32:32" ht="11.45" customHeight="1">
      <c r="AF109" s="258">
        <v>11</v>
      </c>
    </row>
    <row r="110" spans="32:32" ht="11.45" customHeight="1">
      <c r="AF110" s="258">
        <v>11</v>
      </c>
    </row>
    <row r="111" spans="32:32" ht="11.45" customHeight="1">
      <c r="AF111" s="258">
        <v>11</v>
      </c>
    </row>
    <row r="112" spans="32:32" ht="11.45" customHeight="1">
      <c r="AF112" s="258">
        <v>11</v>
      </c>
    </row>
    <row r="113" spans="32:32" ht="11.45" customHeight="1">
      <c r="AF113" s="258">
        <v>11</v>
      </c>
    </row>
    <row r="114" spans="32:32" ht="11.45" customHeight="1">
      <c r="AF114" s="258">
        <v>11</v>
      </c>
    </row>
    <row r="115" spans="32:32" ht="11.45" customHeight="1">
      <c r="AF115" s="258">
        <v>11</v>
      </c>
    </row>
    <row r="116" spans="32:32" ht="11.45" customHeight="1">
      <c r="AF116" s="258">
        <v>11</v>
      </c>
    </row>
    <row r="117" spans="32:32" ht="11.45" customHeight="1">
      <c r="AF117" s="258">
        <v>11</v>
      </c>
    </row>
    <row r="118" spans="32:32" ht="11.45" customHeight="1">
      <c r="AF118" s="258">
        <v>11</v>
      </c>
    </row>
    <row r="119" spans="32:32" ht="11.45" customHeight="1">
      <c r="AF119" s="258">
        <v>11</v>
      </c>
    </row>
    <row r="120" spans="32:32" ht="11.45" customHeight="1">
      <c r="AF120" s="258">
        <v>11</v>
      </c>
    </row>
    <row r="121" spans="32:32" ht="11.45" customHeight="1">
      <c r="AF121" s="258">
        <v>11</v>
      </c>
    </row>
    <row r="122" spans="32:32" ht="11.45" customHeight="1">
      <c r="AF122" s="258">
        <v>11</v>
      </c>
    </row>
    <row r="123" spans="32:32" ht="11.45" customHeight="1">
      <c r="AF123" s="258">
        <v>11</v>
      </c>
    </row>
    <row r="124" spans="32:32" ht="11.45" customHeight="1">
      <c r="AF124" s="258">
        <v>11</v>
      </c>
    </row>
    <row r="125" spans="32:32" ht="11.45" customHeight="1">
      <c r="AF125" s="258">
        <v>11</v>
      </c>
    </row>
    <row r="126" spans="32:32" ht="11.45" customHeight="1">
      <c r="AF126" s="258">
        <v>11</v>
      </c>
    </row>
    <row r="127" spans="32:32" ht="11.45" customHeight="1">
      <c r="AF127" s="258">
        <v>11</v>
      </c>
    </row>
    <row r="128" spans="32:32" ht="11.45" customHeight="1">
      <c r="AF128" s="258">
        <v>11</v>
      </c>
    </row>
    <row r="129" spans="32:32" ht="11.45" customHeight="1">
      <c r="AF129" s="258">
        <v>11</v>
      </c>
    </row>
    <row r="130" spans="32:32" ht="11.45" customHeight="1">
      <c r="AF130" s="258">
        <v>11</v>
      </c>
    </row>
    <row r="131" spans="32:32" ht="11.45" customHeight="1">
      <c r="AF131" s="258">
        <v>11</v>
      </c>
    </row>
    <row r="132" spans="32:32" ht="11.45" customHeight="1">
      <c r="AF132" s="258">
        <v>11</v>
      </c>
    </row>
    <row r="133" spans="32:32" ht="11.45" customHeight="1">
      <c r="AF133" s="258">
        <v>11</v>
      </c>
    </row>
    <row r="134" spans="32:32" ht="11.45" customHeight="1">
      <c r="AF134" s="258">
        <v>11</v>
      </c>
    </row>
    <row r="135" spans="32:32" ht="11.45" customHeight="1">
      <c r="AF135" s="258">
        <v>11</v>
      </c>
    </row>
    <row r="136" spans="32:32" ht="11.45" customHeight="1">
      <c r="AF136" s="258">
        <v>11</v>
      </c>
    </row>
    <row r="137" spans="32:32" ht="11.45" customHeight="1">
      <c r="AF137" s="258">
        <v>11</v>
      </c>
    </row>
    <row r="138" spans="32:32" ht="11.45" customHeight="1">
      <c r="AF138" s="258">
        <v>11</v>
      </c>
    </row>
    <row r="139" spans="32:32" ht="11.45" customHeight="1">
      <c r="AF139" s="258">
        <v>11</v>
      </c>
    </row>
    <row r="140" spans="32:32" ht="11.45" customHeight="1">
      <c r="AF140" s="258">
        <v>11</v>
      </c>
    </row>
    <row r="141" spans="32:32" ht="11.45" customHeight="1">
      <c r="AF141" s="258">
        <v>11</v>
      </c>
    </row>
    <row r="142" spans="32:32" ht="11.45" customHeight="1">
      <c r="AF142" s="258">
        <v>11</v>
      </c>
    </row>
    <row r="143" spans="32:32" ht="11.45" customHeight="1">
      <c r="AF143" s="258">
        <v>11</v>
      </c>
    </row>
    <row r="144" spans="32:32" ht="11.45" customHeight="1">
      <c r="AF144" s="258">
        <v>11</v>
      </c>
    </row>
    <row r="145" spans="32:32" ht="11.45" customHeight="1">
      <c r="AF145" s="258">
        <v>11</v>
      </c>
    </row>
    <row r="146" spans="32:32" ht="11.45" customHeight="1">
      <c r="AF146" s="258">
        <v>11</v>
      </c>
    </row>
    <row r="147" spans="32:32" ht="11.45" customHeight="1">
      <c r="AF147" s="258">
        <v>11</v>
      </c>
    </row>
    <row r="148" spans="32:32" ht="11.45" customHeight="1">
      <c r="AF148" s="258">
        <v>11</v>
      </c>
    </row>
    <row r="149" spans="32:32" ht="11.45" customHeight="1">
      <c r="AF149" s="258">
        <v>11</v>
      </c>
    </row>
    <row r="150" spans="32:32" ht="11.45" customHeight="1">
      <c r="AF150" s="258">
        <v>11</v>
      </c>
    </row>
    <row r="151" spans="32:32" ht="11.45" customHeight="1">
      <c r="AF151" s="258">
        <v>11</v>
      </c>
    </row>
    <row r="152" spans="32:32" ht="11.45" customHeight="1">
      <c r="AF152" s="258">
        <v>11</v>
      </c>
    </row>
    <row r="153" spans="32:32" ht="11.45" customHeight="1">
      <c r="AF153" s="258">
        <v>11</v>
      </c>
    </row>
    <row r="154" spans="32:32" ht="11.45" customHeight="1">
      <c r="AF154" s="258">
        <v>11</v>
      </c>
    </row>
    <row r="155" spans="32:32" ht="11.45" customHeight="1">
      <c r="AF155" s="258">
        <v>11</v>
      </c>
    </row>
    <row r="156" spans="32:32" ht="11.45" customHeight="1">
      <c r="AF156" s="258">
        <v>11</v>
      </c>
    </row>
    <row r="157" spans="32:32" ht="11.45" customHeight="1">
      <c r="AF157" s="258">
        <v>11</v>
      </c>
    </row>
    <row r="158" spans="32:32" ht="11.45" customHeight="1">
      <c r="AF158" s="258">
        <v>11</v>
      </c>
    </row>
    <row r="159" spans="32:32" ht="11.45" customHeight="1">
      <c r="AF159" s="258">
        <v>11</v>
      </c>
    </row>
    <row r="160" spans="32:32" ht="11.45" customHeight="1">
      <c r="AF160" s="258">
        <v>11</v>
      </c>
    </row>
    <row r="161" spans="32:32" ht="11.45" customHeight="1">
      <c r="AF161" s="258">
        <v>11</v>
      </c>
    </row>
    <row r="162" spans="32:32" ht="11.45" customHeight="1">
      <c r="AF162" s="258">
        <v>11</v>
      </c>
    </row>
    <row r="163" spans="32:32" ht="11.45" customHeight="1">
      <c r="AF163" s="258">
        <v>11</v>
      </c>
    </row>
    <row r="164" spans="32:32" ht="11.45" customHeight="1">
      <c r="AF164" s="258">
        <v>11</v>
      </c>
    </row>
    <row r="165" spans="32:32" ht="11.45" customHeight="1">
      <c r="AF165" s="258">
        <v>11</v>
      </c>
    </row>
    <row r="166" spans="32:32" ht="11.45" customHeight="1">
      <c r="AF166" s="258">
        <v>11</v>
      </c>
    </row>
    <row r="167" spans="32:32" ht="11.45" customHeight="1">
      <c r="AF167" s="258">
        <v>11</v>
      </c>
    </row>
    <row r="168" spans="32:32" ht="11.45" customHeight="1">
      <c r="AF168" s="258">
        <v>11</v>
      </c>
    </row>
    <row r="169" spans="32:32" ht="11.45" customHeight="1">
      <c r="AF169" s="258">
        <v>11</v>
      </c>
    </row>
    <row r="170" spans="32:32" ht="11.45" customHeight="1">
      <c r="AF170" s="258">
        <v>11</v>
      </c>
    </row>
    <row r="171" spans="32:32" ht="11.45" customHeight="1">
      <c r="AF171" s="258">
        <v>11</v>
      </c>
    </row>
    <row r="172" spans="32:32" ht="11.45" customHeight="1">
      <c r="AF172" s="258">
        <v>11</v>
      </c>
    </row>
    <row r="173" spans="32:32" ht="11.45" customHeight="1">
      <c r="AF173" s="258">
        <v>11</v>
      </c>
    </row>
    <row r="174" spans="32:32" ht="11.45" customHeight="1">
      <c r="AF174" s="258">
        <v>11</v>
      </c>
    </row>
    <row r="175" spans="32:32" ht="11.45" customHeight="1">
      <c r="AF175" s="258">
        <v>11</v>
      </c>
    </row>
    <row r="176" spans="32:32" ht="11.45" customHeight="1">
      <c r="AF176" s="258">
        <v>11</v>
      </c>
    </row>
    <row r="177" spans="32:32" ht="11.45" customHeight="1">
      <c r="AF177" s="258">
        <v>11</v>
      </c>
    </row>
    <row r="178" spans="32:32" ht="11.45" customHeight="1">
      <c r="AF178" s="258">
        <v>11</v>
      </c>
    </row>
    <row r="179" spans="32:32" ht="11.45" customHeight="1">
      <c r="AF179" s="258">
        <v>11</v>
      </c>
    </row>
    <row r="180" spans="32:32" ht="11.45" customHeight="1">
      <c r="AF180" s="258">
        <v>11</v>
      </c>
    </row>
    <row r="181" spans="32:32" ht="11.45" customHeight="1">
      <c r="AF181" s="258">
        <v>11</v>
      </c>
    </row>
    <row r="182" spans="32:32" ht="11.45" customHeight="1">
      <c r="AF182" s="258">
        <v>11</v>
      </c>
    </row>
    <row r="183" spans="32:32" ht="11.45" customHeight="1">
      <c r="AF183" s="258">
        <v>11</v>
      </c>
    </row>
    <row r="184" spans="32:32" ht="11.45" customHeight="1">
      <c r="AF184" s="258">
        <v>11</v>
      </c>
    </row>
    <row r="185" spans="32:32" ht="11.45" customHeight="1">
      <c r="AF185" s="258">
        <v>11</v>
      </c>
    </row>
    <row r="186" spans="32:32" ht="11.45" customHeight="1">
      <c r="AF186" s="258">
        <v>11</v>
      </c>
    </row>
    <row r="187" spans="32:32" ht="11.45" customHeight="1">
      <c r="AF187" s="258">
        <v>11</v>
      </c>
    </row>
    <row r="188" spans="32:32" ht="11.45" customHeight="1">
      <c r="AF188" s="258">
        <v>11</v>
      </c>
    </row>
    <row r="189" spans="32:32" ht="11.45" customHeight="1">
      <c r="AF189" s="258">
        <v>11</v>
      </c>
    </row>
    <row r="190" spans="32:32" ht="11.45" customHeight="1">
      <c r="AF190" s="258">
        <v>11</v>
      </c>
    </row>
    <row r="191" spans="32:32" ht="11.45" customHeight="1">
      <c r="AF191" s="258">
        <v>11</v>
      </c>
    </row>
    <row r="192" spans="32:32" ht="11.45" customHeight="1">
      <c r="AF192" s="258">
        <v>11</v>
      </c>
    </row>
    <row r="193" spans="32:32" ht="11.45" customHeight="1">
      <c r="AF193" s="258">
        <v>11</v>
      </c>
    </row>
    <row r="194" spans="32:32" ht="11.45" customHeight="1">
      <c r="AF194" s="258">
        <v>11</v>
      </c>
    </row>
    <row r="195" spans="32:32" ht="11.45" customHeight="1">
      <c r="AF195" s="258">
        <v>11</v>
      </c>
    </row>
    <row r="196" spans="32:32" ht="11.45" customHeight="1">
      <c r="AF196" s="258">
        <v>11</v>
      </c>
    </row>
    <row r="197" spans="32:32" ht="11.45" customHeight="1">
      <c r="AF197" s="258">
        <v>11</v>
      </c>
    </row>
    <row r="198" spans="32:32" ht="11.45" customHeight="1">
      <c r="AF198" s="258">
        <v>11</v>
      </c>
    </row>
    <row r="199" spans="32:32" ht="11.45" customHeight="1">
      <c r="AF199" s="258">
        <v>11</v>
      </c>
    </row>
    <row r="200" spans="32:32" ht="11.45" customHeight="1">
      <c r="AF200" s="258">
        <v>11</v>
      </c>
    </row>
    <row r="201" spans="32:32" ht="11.45" customHeight="1">
      <c r="AF201" s="258">
        <v>11</v>
      </c>
    </row>
    <row r="202" spans="32:32" ht="11.45" customHeight="1">
      <c r="AF202" s="258">
        <v>11</v>
      </c>
    </row>
    <row r="203" spans="32:32" ht="11.45" customHeight="1">
      <c r="AF203" s="17">
        <v>11</v>
      </c>
    </row>
    <row r="204" spans="32:32" ht="11.45" customHeight="1">
      <c r="AF204" s="17">
        <v>11</v>
      </c>
    </row>
    <row r="205" spans="32:32" ht="11.45" customHeight="1">
      <c r="AF205" s="17">
        <v>11</v>
      </c>
    </row>
    <row r="206" spans="32:32" ht="11.45" customHeight="1">
      <c r="AF206" s="17">
        <v>11</v>
      </c>
    </row>
    <row r="207" spans="32:32" ht="11.45" customHeight="1">
      <c r="AF207" s="17">
        <v>11</v>
      </c>
    </row>
    <row r="208" spans="32:32" ht="11.45" customHeight="1">
      <c r="AF208" s="17">
        <v>11</v>
      </c>
    </row>
    <row r="209" spans="1:32" ht="11.45" customHeight="1">
      <c r="AF209" s="17">
        <v>11</v>
      </c>
    </row>
    <row r="210" spans="1:32" ht="11.45" customHeight="1">
      <c r="AF210" s="17">
        <v>11</v>
      </c>
    </row>
    <row r="211" spans="1:32" ht="11.45" customHeight="1">
      <c r="AF211" s="17">
        <v>11</v>
      </c>
    </row>
    <row r="212" spans="1:32" ht="11.45" customHeight="1">
      <c r="AF212" s="17">
        <v>11</v>
      </c>
    </row>
    <row r="213" spans="1:32" ht="11.45" customHeight="1">
      <c r="AF213" s="17">
        <v>11</v>
      </c>
    </row>
    <row r="214" spans="1:32" ht="11.45" customHeight="1">
      <c r="AF214" s="17">
        <v>11</v>
      </c>
    </row>
    <row r="215" spans="1:32" ht="11.45" customHeight="1">
      <c r="AF215" s="17">
        <v>11</v>
      </c>
    </row>
    <row r="216" spans="1:32" ht="11.45" customHeight="1">
      <c r="AF216" s="17">
        <v>11</v>
      </c>
    </row>
    <row r="217" spans="1:32" ht="11.25" hidden="1" customHeight="1">
      <c r="A217" s="492" t="s">
        <v>82</v>
      </c>
      <c r="B217" s="37">
        <v>0</v>
      </c>
      <c r="C217" s="75">
        <v>0</v>
      </c>
      <c r="D217" s="17">
        <v>3</v>
      </c>
      <c r="E217" s="17">
        <v>7</v>
      </c>
      <c r="F217" s="17">
        <v>56</v>
      </c>
      <c r="G217" s="17">
        <v>10</v>
      </c>
      <c r="H217" s="17">
        <v>0</v>
      </c>
      <c r="I217" s="17">
        <v>40</v>
      </c>
      <c r="J217" s="17">
        <v>102</v>
      </c>
      <c r="K217" s="37">
        <v>9</v>
      </c>
      <c r="L217" s="75">
        <v>5</v>
      </c>
      <c r="M217" s="75">
        <v>3</v>
      </c>
      <c r="N217" s="37">
        <v>3</v>
      </c>
      <c r="O217" s="37">
        <v>3</v>
      </c>
      <c r="P217" s="37">
        <v>3</v>
      </c>
      <c r="Q217" s="37">
        <v>3</v>
      </c>
      <c r="R217" s="75">
        <v>10</v>
      </c>
      <c r="S217" s="37">
        <v>34</v>
      </c>
      <c r="T217" s="37">
        <v>9</v>
      </c>
      <c r="U217" s="493">
        <v>8</v>
      </c>
      <c r="V217" s="37">
        <v>8</v>
      </c>
      <c r="W217" s="37">
        <v>8</v>
      </c>
      <c r="X217" s="37">
        <v>8</v>
      </c>
      <c r="Y217" s="37">
        <v>8</v>
      </c>
      <c r="Z217" s="37">
        <v>8</v>
      </c>
      <c r="AA217" s="15">
        <v>8</v>
      </c>
      <c r="AB217" s="15">
        <v>8</v>
      </c>
      <c r="AC217" s="15">
        <v>8</v>
      </c>
      <c r="AD217" s="15">
        <v>8</v>
      </c>
      <c r="AE217" s="15">
        <v>8</v>
      </c>
      <c r="AF217" s="1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10DD-CB29-27BD-0509-32876B80FA5F}">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hidden="1" customWidth="1"/>
    <col min="2" max="2" width="16.85546875" hidden="1" customWidth="1"/>
    <col min="3" max="3" width="5.5703125" hidden="1" customWidth="1"/>
    <col min="4" max="4" width="3" customWidth="1"/>
    <col min="5" max="5" width="7" customWidth="1"/>
    <col min="6" max="6" width="54" customWidth="1"/>
    <col min="7" max="7" width="10" customWidth="1"/>
    <col min="8" max="8" width="40.7109375" hidden="1" customWidth="1"/>
    <col min="9" max="9" width="40"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9.140625" hidden="1"/>
  </cols>
  <sheetData>
    <row r="1" spans="5:32" ht="22.5" hidden="1" customHeight="1">
      <c r="H1" s="37">
        <v>4</v>
      </c>
      <c r="I1" s="37">
        <v>4</v>
      </c>
      <c r="AF1" s="37" t="s">
        <v>14</v>
      </c>
    </row>
    <row r="2" spans="5:32" ht="22.5" hidden="1" customHeight="1">
      <c r="E2" s="88"/>
      <c r="F2" s="90"/>
      <c r="G2" s="88" t="s">
        <v>553</v>
      </c>
      <c r="H2" s="312"/>
      <c r="I2" s="312"/>
      <c r="J2" s="445" t="s">
        <v>556</v>
      </c>
      <c r="AF2" s="37">
        <v>0</v>
      </c>
    </row>
    <row r="3" spans="5:32" ht="11.25" hidden="1" customHeight="1">
      <c r="AF3" s="17">
        <v>0</v>
      </c>
    </row>
    <row r="4" spans="5:32" ht="11.25" hidden="1" customHeight="1">
      <c r="J4" s="15">
        <v>4</v>
      </c>
      <c r="AF4" s="15">
        <v>0</v>
      </c>
    </row>
    <row r="5" spans="5:32" ht="11.45" customHeight="1">
      <c r="AF5" s="17">
        <v>11</v>
      </c>
    </row>
    <row r="6" spans="5:32" ht="33.75" customHeight="1">
      <c r="E6" s="1093" t="s">
        <v>776</v>
      </c>
      <c r="F6" s="1093"/>
      <c r="G6" s="1093"/>
      <c r="H6" s="1093"/>
      <c r="I6" s="1093"/>
      <c r="AF6" s="17">
        <v>32</v>
      </c>
    </row>
    <row r="7" spans="5:32" ht="25.15" customHeight="1">
      <c r="E7" s="1066" t="str">
        <f>IF(org=0,"Не определено",org)</f>
        <v>ООО "ТВС"</v>
      </c>
      <c r="F7" s="1066"/>
      <c r="G7" s="1066"/>
      <c r="H7" s="1066"/>
      <c r="I7" s="1066"/>
      <c r="AF7" s="17">
        <v>24</v>
      </c>
    </row>
    <row r="8" spans="5:32" ht="11.45" customHeight="1">
      <c r="AF8" s="17">
        <v>11</v>
      </c>
    </row>
    <row r="9" spans="5:32" ht="1.1499999999999999" customHeight="1">
      <c r="H9" s="448"/>
      <c r="I9" s="448" t="s">
        <v>119</v>
      </c>
      <c r="AF9" s="75">
        <v>1</v>
      </c>
    </row>
    <row r="10" spans="5:32" ht="11.45" customHeight="1">
      <c r="E10" s="449"/>
      <c r="F10" s="1197" t="s">
        <v>106</v>
      </c>
      <c r="G10" s="1198"/>
      <c r="H10" s="452" t="str">
        <f>IF(H9="","",INDEX(DIFFERENTIATION_UNMERGE_VD,MATCH(H9,DIFFERENTIATION_ID_DIFF,0)))</f>
        <v/>
      </c>
      <c r="I10" s="452" t="str">
        <f>IF(I9="","",INDEX(DIFFERENTIATION_UNMERGE_VD,MATCH(I9,DIFFERENTIATION_ID_DIFF,0)))</f>
        <v>Подключение (технологическое присоединение) к системе теплоснабжения</v>
      </c>
      <c r="J10" s="995"/>
      <c r="AF10" s="17">
        <v>11</v>
      </c>
    </row>
    <row r="11" spans="5:32" ht="11.45" customHeight="1">
      <c r="E11" s="449"/>
      <c r="F11" s="1197" t="s">
        <v>565</v>
      </c>
      <c r="G11" s="1198"/>
      <c r="H11" s="452" t="str">
        <f>IF(H9="","",INDEX(DIFFERENTIATION_UNMERGE_AREA,MATCH(H9,DIFFERENTIATION_ID_DIFF,0)))</f>
        <v/>
      </c>
      <c r="I11" s="452" t="str">
        <f>IF(I9="","",INDEX(DIFFERENTIATION_UNMERGE_AREA,MATCH(I9,DIFFERENTIATION_ID_DIFF,0)))</f>
        <v>Территория 1</v>
      </c>
      <c r="J11" s="995"/>
      <c r="AF11" s="17">
        <v>11</v>
      </c>
    </row>
    <row r="12" spans="5:32" ht="11.25" hidden="1" customHeight="1">
      <c r="E12" s="512"/>
      <c r="F12" s="1213" t="s">
        <v>566</v>
      </c>
      <c r="G12" s="1214"/>
      <c r="H12" s="539" t="str">
        <f>IF(H9="","",INDEX(DIFFERENTIATION_UNMERGE_SYSTEM,MATCH(H9,DIFFERENTIATION_ID_DIFF,0)))</f>
        <v/>
      </c>
      <c r="I12" s="539"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995"/>
      <c r="AF12" s="17">
        <v>0</v>
      </c>
    </row>
    <row r="13" spans="5:32" ht="11.45" customHeight="1">
      <c r="E13" s="1199" t="s">
        <v>301</v>
      </c>
      <c r="F13" s="1200"/>
      <c r="G13" s="1200"/>
      <c r="H13" s="450"/>
      <c r="I13" s="450"/>
      <c r="J13" s="995"/>
      <c r="AF13" s="17">
        <v>11</v>
      </c>
    </row>
    <row r="14" spans="5:32" ht="24" customHeight="1">
      <c r="E14" s="88" t="s">
        <v>88</v>
      </c>
      <c r="F14" s="88" t="s">
        <v>303</v>
      </c>
      <c r="G14" s="88" t="s">
        <v>567</v>
      </c>
      <c r="H14" s="88" t="s">
        <v>304</v>
      </c>
      <c r="I14" s="88" t="s">
        <v>304</v>
      </c>
      <c r="J14" s="995"/>
      <c r="AF14" s="17">
        <v>23</v>
      </c>
    </row>
    <row r="15" spans="5:32" ht="19.899999999999999" customHeight="1">
      <c r="E15" s="514" t="s">
        <v>110</v>
      </c>
      <c r="F15" s="165" t="s">
        <v>777</v>
      </c>
      <c r="G15" s="88" t="s">
        <v>553</v>
      </c>
      <c r="H15" s="453"/>
      <c r="I15" s="453"/>
      <c r="J15" s="296" t="s">
        <v>778</v>
      </c>
      <c r="K15" s="516" t="s">
        <v>631</v>
      </c>
      <c r="AF15" s="17">
        <v>19</v>
      </c>
    </row>
    <row r="16" spans="5:32" ht="24" customHeight="1">
      <c r="E16" s="514" t="s">
        <v>111</v>
      </c>
      <c r="F16" s="174" t="s">
        <v>779</v>
      </c>
      <c r="G16" s="88" t="s">
        <v>553</v>
      </c>
      <c r="H16" s="454">
        <f>SUM(H17,H20:H27)</f>
        <v>0</v>
      </c>
      <c r="I16" s="454">
        <f>SUM(I17,I20:I27)</f>
        <v>0</v>
      </c>
      <c r="J16" s="296" t="s">
        <v>780</v>
      </c>
      <c r="K16" s="516" t="s">
        <v>631</v>
      </c>
      <c r="AF16" s="17">
        <v>23</v>
      </c>
    </row>
    <row r="17" spans="5:32" ht="35.65" customHeight="1">
      <c r="E17" s="521" t="s">
        <v>710</v>
      </c>
      <c r="F17" s="219" t="s">
        <v>781</v>
      </c>
      <c r="G17" s="21" t="s">
        <v>553</v>
      </c>
      <c r="H17" s="453"/>
      <c r="I17" s="453"/>
      <c r="J17" s="296" t="s">
        <v>782</v>
      </c>
      <c r="AF17" s="17">
        <v>34</v>
      </c>
    </row>
    <row r="18" spans="5:32" ht="19.899999999999999" customHeight="1">
      <c r="E18" s="521" t="s">
        <v>713</v>
      </c>
      <c r="F18" s="541" t="s">
        <v>783</v>
      </c>
      <c r="G18" s="21" t="s">
        <v>553</v>
      </c>
      <c r="H18" s="453"/>
      <c r="I18" s="453"/>
      <c r="J18" s="296"/>
      <c r="AF18" s="17">
        <v>19</v>
      </c>
    </row>
    <row r="19" spans="5:32" ht="24" customHeight="1">
      <c r="E19" s="521" t="s">
        <v>716</v>
      </c>
      <c r="F19" s="541" t="s">
        <v>784</v>
      </c>
      <c r="G19" s="21" t="s">
        <v>553</v>
      </c>
      <c r="H19" s="453"/>
      <c r="I19" s="453"/>
      <c r="J19" s="296"/>
      <c r="AF19" s="17">
        <v>23</v>
      </c>
    </row>
    <row r="20" spans="5:32" ht="35.65" customHeight="1">
      <c r="E20" s="521" t="s">
        <v>308</v>
      </c>
      <c r="F20" s="219" t="s">
        <v>785</v>
      </c>
      <c r="G20" s="21" t="s">
        <v>553</v>
      </c>
      <c r="H20" s="453"/>
      <c r="I20" s="453"/>
      <c r="J20" s="296"/>
      <c r="AF20" s="17">
        <v>34</v>
      </c>
    </row>
    <row r="21" spans="5:32" ht="48.2" customHeight="1">
      <c r="E21" s="521" t="s">
        <v>311</v>
      </c>
      <c r="F21" s="219" t="s">
        <v>786</v>
      </c>
      <c r="G21" s="21" t="s">
        <v>553</v>
      </c>
      <c r="H21" s="453"/>
      <c r="I21" s="453"/>
      <c r="J21" s="296"/>
      <c r="AF21" s="17">
        <v>46</v>
      </c>
    </row>
    <row r="22" spans="5:32" ht="60" customHeight="1">
      <c r="E22" s="521" t="s">
        <v>730</v>
      </c>
      <c r="F22" s="219" t="s">
        <v>787</v>
      </c>
      <c r="G22" s="21" t="s">
        <v>553</v>
      </c>
      <c r="H22" s="453"/>
      <c r="I22" s="453"/>
      <c r="J22" s="296"/>
      <c r="AF22" s="17">
        <v>57</v>
      </c>
    </row>
    <row r="23" spans="5:32" ht="35.65" customHeight="1">
      <c r="E23" s="521" t="s">
        <v>737</v>
      </c>
      <c r="F23" s="219" t="s">
        <v>788</v>
      </c>
      <c r="G23" s="21" t="s">
        <v>553</v>
      </c>
      <c r="H23" s="453"/>
      <c r="I23" s="453"/>
      <c r="J23" s="296"/>
      <c r="AF23" s="17">
        <v>34</v>
      </c>
    </row>
    <row r="24" spans="5:32" ht="35.65" customHeight="1">
      <c r="E24" s="521" t="s">
        <v>739</v>
      </c>
      <c r="F24" s="219" t="s">
        <v>789</v>
      </c>
      <c r="G24" s="21" t="s">
        <v>553</v>
      </c>
      <c r="H24" s="453"/>
      <c r="I24" s="453"/>
      <c r="J24" s="296"/>
      <c r="AF24" s="17">
        <v>34</v>
      </c>
    </row>
    <row r="25" spans="5:32" ht="24" customHeight="1">
      <c r="E25" s="521" t="s">
        <v>741</v>
      </c>
      <c r="F25" s="219" t="s">
        <v>790</v>
      </c>
      <c r="G25" s="21" t="s">
        <v>553</v>
      </c>
      <c r="H25" s="453"/>
      <c r="I25" s="453"/>
      <c r="J25" s="296"/>
      <c r="AF25" s="17">
        <v>23</v>
      </c>
    </row>
    <row r="26" spans="5:32" ht="76.5" customHeight="1">
      <c r="E26" s="521" t="s">
        <v>743</v>
      </c>
      <c r="F26" s="219" t="s">
        <v>791</v>
      </c>
      <c r="G26" s="21" t="s">
        <v>553</v>
      </c>
      <c r="H26" s="453"/>
      <c r="I26" s="453"/>
      <c r="J26" s="296"/>
      <c r="AF26" s="17">
        <v>73</v>
      </c>
    </row>
    <row r="27" spans="5:32" ht="35.65" customHeight="1">
      <c r="E27" s="517" t="s">
        <v>747</v>
      </c>
      <c r="F27" s="112" t="s">
        <v>792</v>
      </c>
      <c r="G27" s="161" t="s">
        <v>553</v>
      </c>
      <c r="H27" s="469">
        <f>SUM(H28:H29)</f>
        <v>0</v>
      </c>
      <c r="I27" s="469">
        <f>SUM(I28:I29)</f>
        <v>0</v>
      </c>
      <c r="J27" s="296" t="s">
        <v>745</v>
      </c>
      <c r="AF27" s="37">
        <v>34</v>
      </c>
    </row>
    <row r="28" spans="5:32" ht="1.1499999999999999" customHeight="1">
      <c r="E28" s="89" t="str">
        <f>E27&amp;".0"</f>
        <v>2.9.0</v>
      </c>
      <c r="F28" s="470"/>
      <c r="G28" s="89"/>
      <c r="H28" s="471"/>
      <c r="I28" s="471"/>
      <c r="J28" s="472"/>
      <c r="AF28" s="75">
        <v>1</v>
      </c>
    </row>
    <row r="29" spans="5:32" ht="19.899999999999999" customHeight="1">
      <c r="E29" s="462"/>
      <c r="F29" s="540" t="s">
        <v>578</v>
      </c>
      <c r="G29" s="463"/>
      <c r="H29" s="464"/>
      <c r="I29" s="464"/>
      <c r="J29" s="341" t="s">
        <v>746</v>
      </c>
      <c r="AF29" s="37">
        <v>19</v>
      </c>
    </row>
    <row r="30" spans="5:32" ht="24" customHeight="1">
      <c r="E30" s="521" t="s">
        <v>90</v>
      </c>
      <c r="F30" s="542" t="s">
        <v>793</v>
      </c>
      <c r="G30" s="21" t="s">
        <v>553</v>
      </c>
      <c r="H30" s="453"/>
      <c r="I30" s="453"/>
      <c r="J30" s="296"/>
      <c r="AF30" s="37">
        <v>23</v>
      </c>
    </row>
    <row r="31" spans="5:32" ht="35.65" customHeight="1">
      <c r="E31" s="521" t="s">
        <v>91</v>
      </c>
      <c r="F31" s="542" t="s">
        <v>794</v>
      </c>
      <c r="G31" s="21" t="s">
        <v>553</v>
      </c>
      <c r="H31" s="453"/>
      <c r="I31" s="453"/>
      <c r="J31" s="296" t="s">
        <v>795</v>
      </c>
      <c r="AF31" s="37">
        <v>34</v>
      </c>
    </row>
    <row r="32" spans="5:32" ht="24" customHeight="1">
      <c r="E32" s="521" t="s">
        <v>755</v>
      </c>
      <c r="F32" s="219" t="s">
        <v>759</v>
      </c>
      <c r="G32" s="21" t="s">
        <v>553</v>
      </c>
      <c r="H32" s="453"/>
      <c r="I32" s="453"/>
      <c r="J32" s="296" t="s">
        <v>796</v>
      </c>
      <c r="AF32" s="37">
        <v>23</v>
      </c>
    </row>
    <row r="33" spans="3:32" ht="24" customHeight="1">
      <c r="E33" s="521" t="s">
        <v>797</v>
      </c>
      <c r="F33" s="219" t="s">
        <v>798</v>
      </c>
      <c r="G33" s="21" t="s">
        <v>553</v>
      </c>
      <c r="H33" s="453"/>
      <c r="I33" s="453"/>
      <c r="J33" s="296" t="s">
        <v>799</v>
      </c>
      <c r="AF33" s="37">
        <v>23</v>
      </c>
    </row>
    <row r="34" spans="3:32" ht="24" customHeight="1">
      <c r="E34" s="521" t="s">
        <v>800</v>
      </c>
      <c r="F34" s="219" t="s">
        <v>765</v>
      </c>
      <c r="G34" s="21" t="s">
        <v>553</v>
      </c>
      <c r="H34" s="453"/>
      <c r="I34" s="453"/>
      <c r="J34" s="296" t="s">
        <v>801</v>
      </c>
      <c r="AF34" s="37">
        <v>23</v>
      </c>
    </row>
    <row r="35" spans="3:32" ht="35.65" customHeight="1">
      <c r="C35" s="75" t="s">
        <v>589</v>
      </c>
      <c r="E35" s="521" t="s">
        <v>112</v>
      </c>
      <c r="F35" s="542" t="s">
        <v>630</v>
      </c>
      <c r="G35" s="88" t="s">
        <v>307</v>
      </c>
      <c r="H35" s="477"/>
      <c r="I35" s="477"/>
      <c r="J35" s="296" t="s">
        <v>802</v>
      </c>
      <c r="AF35" s="37">
        <v>34</v>
      </c>
    </row>
    <row r="36" spans="3:32" ht="35.65" customHeight="1">
      <c r="E36" s="521" t="s">
        <v>92</v>
      </c>
      <c r="F36" s="542" t="s">
        <v>803</v>
      </c>
      <c r="G36" s="21" t="s">
        <v>770</v>
      </c>
      <c r="H36" s="446"/>
      <c r="I36" s="446"/>
      <c r="J36" s="296" t="s">
        <v>771</v>
      </c>
      <c r="AF36" s="37">
        <v>34</v>
      </c>
    </row>
    <row r="37" spans="3:32" ht="24" customHeight="1">
      <c r="E37" s="521" t="s">
        <v>93</v>
      </c>
      <c r="F37" s="542" t="s">
        <v>804</v>
      </c>
      <c r="G37" s="21" t="s">
        <v>773</v>
      </c>
      <c r="H37" s="446"/>
      <c r="I37" s="446"/>
      <c r="J37" s="296" t="s">
        <v>774</v>
      </c>
      <c r="AF37" s="37">
        <v>23</v>
      </c>
    </row>
    <row r="38" spans="3:32" ht="11.45" customHeight="1">
      <c r="AF38" s="17">
        <v>11</v>
      </c>
    </row>
    <row r="39" spans="3:32" ht="27.4" customHeight="1">
      <c r="E39" s="543" t="s">
        <v>805</v>
      </c>
      <c r="F39" s="1215" t="s">
        <v>806</v>
      </c>
      <c r="G39" s="964"/>
      <c r="AF39" s="17">
        <v>26</v>
      </c>
    </row>
    <row r="40" spans="3:32" ht="39.75" customHeight="1">
      <c r="F40" s="1215" t="s">
        <v>807</v>
      </c>
      <c r="G40" s="964"/>
      <c r="AF40" s="258">
        <v>38</v>
      </c>
    </row>
    <row r="41" spans="3:32" ht="11.45" customHeight="1">
      <c r="AF41" s="258">
        <v>11</v>
      </c>
    </row>
    <row r="42" spans="3:32" ht="11.45" customHeight="1">
      <c r="AF42" s="258">
        <v>11</v>
      </c>
    </row>
    <row r="43" spans="3:32" ht="11.45" customHeight="1">
      <c r="AF43" s="258">
        <v>11</v>
      </c>
    </row>
    <row r="44" spans="3:32" ht="11.45" customHeight="1">
      <c r="AF44" s="258">
        <v>11</v>
      </c>
    </row>
    <row r="45" spans="3:32" ht="11.45" customHeight="1">
      <c r="AF45" s="258">
        <v>11</v>
      </c>
    </row>
    <row r="46" spans="3:32" ht="11.45" customHeight="1">
      <c r="AF46" s="258">
        <v>11</v>
      </c>
    </row>
    <row r="47" spans="3:32" ht="11.45" customHeight="1">
      <c r="AF47" s="258">
        <v>11</v>
      </c>
    </row>
    <row r="48" spans="3:32" ht="11.45" customHeight="1">
      <c r="AF48" s="258">
        <v>11</v>
      </c>
    </row>
    <row r="49" spans="32:32" ht="11.45" customHeight="1">
      <c r="AF49" s="258">
        <v>11</v>
      </c>
    </row>
    <row r="50" spans="32:32" ht="11.45" customHeight="1">
      <c r="AF50" s="258">
        <v>11</v>
      </c>
    </row>
    <row r="51" spans="32:32" ht="11.45" customHeight="1">
      <c r="AF51" s="258">
        <v>11</v>
      </c>
    </row>
    <row r="52" spans="32:32" ht="11.45" customHeight="1">
      <c r="AF52" s="258">
        <v>11</v>
      </c>
    </row>
    <row r="53" spans="32:32" ht="11.45" customHeight="1">
      <c r="AF53" s="258">
        <v>11</v>
      </c>
    </row>
    <row r="54" spans="32:32" ht="11.45" customHeight="1">
      <c r="AF54" s="258">
        <v>11</v>
      </c>
    </row>
    <row r="55" spans="32:32" ht="11.45" customHeight="1">
      <c r="AF55" s="258">
        <v>11</v>
      </c>
    </row>
    <row r="56" spans="32:32" ht="11.45" customHeight="1">
      <c r="AF56" s="258">
        <v>11</v>
      </c>
    </row>
    <row r="57" spans="32:32" ht="11.45" customHeight="1">
      <c r="AF57" s="258">
        <v>11</v>
      </c>
    </row>
    <row r="58" spans="32:32" ht="11.45" customHeight="1">
      <c r="AF58" s="258">
        <v>11</v>
      </c>
    </row>
    <row r="59" spans="32:32" ht="11.45" customHeight="1">
      <c r="AF59" s="258">
        <v>11</v>
      </c>
    </row>
    <row r="60" spans="32:32" ht="11.45" customHeight="1">
      <c r="AF60" s="258">
        <v>11</v>
      </c>
    </row>
    <row r="61" spans="32:32" ht="11.45" customHeight="1">
      <c r="AF61" s="258">
        <v>11</v>
      </c>
    </row>
    <row r="62" spans="32:32" ht="11.45" customHeight="1">
      <c r="AF62" s="258">
        <v>11</v>
      </c>
    </row>
    <row r="63" spans="32:32" ht="11.45" customHeight="1">
      <c r="AF63" s="258">
        <v>11</v>
      </c>
    </row>
    <row r="64" spans="32:32" ht="11.45" customHeight="1">
      <c r="AF64" s="258">
        <v>11</v>
      </c>
    </row>
    <row r="65" spans="32:32" ht="11.45" customHeight="1">
      <c r="AF65" s="258">
        <v>11</v>
      </c>
    </row>
    <row r="66" spans="32:32" ht="11.45" customHeight="1">
      <c r="AF66" s="258">
        <v>11</v>
      </c>
    </row>
    <row r="67" spans="32:32" ht="11.45" customHeight="1">
      <c r="AF67" s="258">
        <v>11</v>
      </c>
    </row>
    <row r="68" spans="32:32" ht="11.45" customHeight="1">
      <c r="AF68" s="258">
        <v>11</v>
      </c>
    </row>
    <row r="69" spans="32:32" ht="11.45" customHeight="1">
      <c r="AF69" s="258">
        <v>11</v>
      </c>
    </row>
    <row r="70" spans="32:32" ht="11.45" customHeight="1">
      <c r="AF70" s="258">
        <v>11</v>
      </c>
    </row>
    <row r="71" spans="32:32" ht="11.45" customHeight="1">
      <c r="AF71" s="258">
        <v>11</v>
      </c>
    </row>
    <row r="72" spans="32:32" ht="11.45" customHeight="1">
      <c r="AF72" s="258">
        <v>11</v>
      </c>
    </row>
    <row r="73" spans="32:32" ht="11.45" customHeight="1">
      <c r="AF73" s="258">
        <v>11</v>
      </c>
    </row>
    <row r="74" spans="32:32" ht="11.45" customHeight="1">
      <c r="AF74" s="258">
        <v>11</v>
      </c>
    </row>
    <row r="75" spans="32:32" ht="11.45" customHeight="1">
      <c r="AF75" s="258">
        <v>11</v>
      </c>
    </row>
    <row r="76" spans="32:32" ht="11.45" customHeight="1">
      <c r="AF76" s="258">
        <v>11</v>
      </c>
    </row>
    <row r="77" spans="32:32" ht="11.45" customHeight="1">
      <c r="AF77" s="258">
        <v>11</v>
      </c>
    </row>
    <row r="78" spans="32:32" ht="11.45" customHeight="1">
      <c r="AF78" s="258">
        <v>11</v>
      </c>
    </row>
    <row r="79" spans="32:32" ht="11.45" customHeight="1">
      <c r="AF79" s="258">
        <v>11</v>
      </c>
    </row>
    <row r="80" spans="32:32" ht="11.45" customHeight="1">
      <c r="AF80" s="258">
        <v>11</v>
      </c>
    </row>
    <row r="81" spans="32:32" ht="11.45" customHeight="1">
      <c r="AF81" s="258">
        <v>11</v>
      </c>
    </row>
    <row r="82" spans="32:32" ht="11.45" customHeight="1">
      <c r="AF82" s="258">
        <v>11</v>
      </c>
    </row>
    <row r="83" spans="32:32" ht="11.45" customHeight="1">
      <c r="AF83" s="258">
        <v>11</v>
      </c>
    </row>
    <row r="84" spans="32:32" ht="11.45" customHeight="1">
      <c r="AF84" s="258">
        <v>11</v>
      </c>
    </row>
    <row r="85" spans="32:32" ht="11.45" customHeight="1">
      <c r="AF85" s="258">
        <v>11</v>
      </c>
    </row>
    <row r="86" spans="32:32" ht="11.45" customHeight="1">
      <c r="AF86" s="258">
        <v>11</v>
      </c>
    </row>
    <row r="87" spans="32:32" ht="11.45" customHeight="1">
      <c r="AF87" s="258">
        <v>11</v>
      </c>
    </row>
    <row r="88" spans="32:32" ht="11.45" customHeight="1">
      <c r="AF88" s="258">
        <v>11</v>
      </c>
    </row>
    <row r="89" spans="32:32" ht="11.45" customHeight="1">
      <c r="AF89" s="258">
        <v>11</v>
      </c>
    </row>
    <row r="90" spans="32:32" ht="11.45" customHeight="1">
      <c r="AF90" s="258">
        <v>11</v>
      </c>
    </row>
    <row r="91" spans="32:32" ht="11.45" customHeight="1">
      <c r="AF91" s="258">
        <v>11</v>
      </c>
    </row>
    <row r="92" spans="32:32" ht="11.45" customHeight="1">
      <c r="AF92" s="258">
        <v>11</v>
      </c>
    </row>
    <row r="93" spans="32:32" ht="11.45" customHeight="1">
      <c r="AF93" s="258">
        <v>11</v>
      </c>
    </row>
    <row r="94" spans="32:32" ht="11.45" customHeight="1">
      <c r="AF94" s="258">
        <v>11</v>
      </c>
    </row>
    <row r="95" spans="32:32" ht="11.45" customHeight="1">
      <c r="AF95" s="258">
        <v>11</v>
      </c>
    </row>
    <row r="96" spans="32:32" ht="11.45" customHeight="1">
      <c r="AF96" s="258">
        <v>11</v>
      </c>
    </row>
    <row r="97" spans="32:32" ht="11.45" customHeight="1">
      <c r="AF97" s="258">
        <v>11</v>
      </c>
    </row>
    <row r="98" spans="32:32" ht="11.45" customHeight="1">
      <c r="AF98" s="258">
        <v>11</v>
      </c>
    </row>
    <row r="99" spans="32:32" ht="11.45" customHeight="1">
      <c r="AF99" s="258">
        <v>11</v>
      </c>
    </row>
    <row r="100" spans="32:32" ht="11.45" customHeight="1">
      <c r="AF100" s="258">
        <v>11</v>
      </c>
    </row>
    <row r="101" spans="32:32" ht="11.45" customHeight="1">
      <c r="AF101" s="258">
        <v>11</v>
      </c>
    </row>
    <row r="102" spans="32:32" ht="11.45" customHeight="1">
      <c r="AF102" s="258">
        <v>11</v>
      </c>
    </row>
    <row r="103" spans="32:32" ht="11.45" customHeight="1">
      <c r="AF103" s="258">
        <v>11</v>
      </c>
    </row>
    <row r="104" spans="32:32" ht="11.45" customHeight="1">
      <c r="AF104" s="258">
        <v>11</v>
      </c>
    </row>
    <row r="105" spans="32:32" ht="11.45" customHeight="1">
      <c r="AF105" s="258">
        <v>11</v>
      </c>
    </row>
    <row r="106" spans="32:32" ht="11.45" customHeight="1">
      <c r="AF106" s="258">
        <v>11</v>
      </c>
    </row>
    <row r="107" spans="32:32" ht="11.45" customHeight="1">
      <c r="AF107" s="258">
        <v>11</v>
      </c>
    </row>
    <row r="108" spans="32:32" ht="11.45" customHeight="1">
      <c r="AF108" s="258">
        <v>11</v>
      </c>
    </row>
    <row r="109" spans="32:32" ht="11.45" customHeight="1">
      <c r="AF109" s="258">
        <v>11</v>
      </c>
    </row>
    <row r="110" spans="32:32" ht="11.45" customHeight="1">
      <c r="AF110" s="258">
        <v>11</v>
      </c>
    </row>
    <row r="111" spans="32:32" ht="11.45" customHeight="1">
      <c r="AF111" s="258">
        <v>11</v>
      </c>
    </row>
    <row r="112" spans="32:32" ht="11.45" customHeight="1">
      <c r="AF112" s="258">
        <v>11</v>
      </c>
    </row>
    <row r="113" spans="32:32" ht="11.45" customHeight="1">
      <c r="AF113" s="258">
        <v>11</v>
      </c>
    </row>
    <row r="114" spans="32:32" ht="11.45" customHeight="1">
      <c r="AF114" s="258">
        <v>11</v>
      </c>
    </row>
    <row r="115" spans="32:32" ht="11.45" customHeight="1">
      <c r="AF115" s="258">
        <v>11</v>
      </c>
    </row>
    <row r="116" spans="32:32" ht="11.45" customHeight="1">
      <c r="AF116" s="258">
        <v>11</v>
      </c>
    </row>
    <row r="117" spans="32:32" ht="11.45" customHeight="1">
      <c r="AF117" s="258">
        <v>11</v>
      </c>
    </row>
    <row r="118" spans="32:32" ht="11.45" customHeight="1">
      <c r="AF118" s="258">
        <v>11</v>
      </c>
    </row>
    <row r="119" spans="32:32" ht="11.45" customHeight="1">
      <c r="AF119" s="258">
        <v>11</v>
      </c>
    </row>
    <row r="120" spans="32:32" ht="11.45" customHeight="1">
      <c r="AF120" s="258">
        <v>11</v>
      </c>
    </row>
    <row r="121" spans="32:32" ht="11.45" customHeight="1">
      <c r="AF121" s="258">
        <v>11</v>
      </c>
    </row>
    <row r="122" spans="32:32" ht="11.45" customHeight="1">
      <c r="AF122" s="258">
        <v>11</v>
      </c>
    </row>
    <row r="123" spans="32:32" ht="11.45" customHeight="1">
      <c r="AF123" s="258">
        <v>11</v>
      </c>
    </row>
    <row r="124" spans="32:32" ht="11.45" customHeight="1">
      <c r="AF124" s="258">
        <v>11</v>
      </c>
    </row>
    <row r="125" spans="32:32" ht="11.45" customHeight="1">
      <c r="AF125" s="258">
        <v>11</v>
      </c>
    </row>
    <row r="126" spans="32:32" ht="11.45" customHeight="1">
      <c r="AF126" s="258">
        <v>11</v>
      </c>
    </row>
    <row r="127" spans="32:32" ht="11.45" customHeight="1">
      <c r="AF127" s="258">
        <v>11</v>
      </c>
    </row>
    <row r="128" spans="32:32" ht="11.45" customHeight="1">
      <c r="AF128" s="258">
        <v>11</v>
      </c>
    </row>
    <row r="129" spans="32:32" ht="11.45" customHeight="1">
      <c r="AF129" s="258">
        <v>11</v>
      </c>
    </row>
    <row r="130" spans="32:32" ht="11.45" customHeight="1">
      <c r="AF130" s="258">
        <v>11</v>
      </c>
    </row>
    <row r="131" spans="32:32" ht="11.45" customHeight="1">
      <c r="AF131" s="258">
        <v>11</v>
      </c>
    </row>
    <row r="132" spans="32:32" ht="11.45" customHeight="1">
      <c r="AF132" s="258">
        <v>11</v>
      </c>
    </row>
    <row r="133" spans="32:32" ht="11.45" customHeight="1">
      <c r="AF133" s="258">
        <v>11</v>
      </c>
    </row>
    <row r="134" spans="32:32" ht="11.45" customHeight="1">
      <c r="AF134" s="258">
        <v>11</v>
      </c>
    </row>
    <row r="135" spans="32:32" ht="11.45" customHeight="1">
      <c r="AF135" s="258">
        <v>11</v>
      </c>
    </row>
    <row r="136" spans="32:32" ht="11.45" customHeight="1">
      <c r="AF136" s="258">
        <v>11</v>
      </c>
    </row>
    <row r="137" spans="32:32" ht="11.45" customHeight="1">
      <c r="AF137" s="258">
        <v>11</v>
      </c>
    </row>
    <row r="138" spans="32:32" ht="11.45" customHeight="1">
      <c r="AF138" s="258">
        <v>11</v>
      </c>
    </row>
    <row r="139" spans="32:32" ht="11.45" customHeight="1">
      <c r="AF139" s="258">
        <v>11</v>
      </c>
    </row>
    <row r="140" spans="32:32" ht="11.45" customHeight="1">
      <c r="AF140" s="258">
        <v>11</v>
      </c>
    </row>
    <row r="141" spans="32:32" ht="11.45" customHeight="1">
      <c r="AF141" s="258">
        <v>11</v>
      </c>
    </row>
    <row r="142" spans="32:32" ht="11.45" customHeight="1">
      <c r="AF142" s="258">
        <v>11</v>
      </c>
    </row>
    <row r="143" spans="32:32" ht="11.45" customHeight="1">
      <c r="AF143" s="258">
        <v>11</v>
      </c>
    </row>
    <row r="144" spans="32:32" ht="11.45" customHeight="1">
      <c r="AF144" s="258">
        <v>11</v>
      </c>
    </row>
    <row r="145" spans="32:32" ht="11.45" customHeight="1">
      <c r="AF145" s="258">
        <v>11</v>
      </c>
    </row>
    <row r="146" spans="32:32" ht="11.45" customHeight="1">
      <c r="AF146" s="258">
        <v>11</v>
      </c>
    </row>
    <row r="147" spans="32:32" ht="11.45" customHeight="1">
      <c r="AF147" s="258">
        <v>11</v>
      </c>
    </row>
    <row r="148" spans="32:32" ht="11.45" customHeight="1">
      <c r="AF148" s="258">
        <v>11</v>
      </c>
    </row>
    <row r="149" spans="32:32" ht="11.45" customHeight="1">
      <c r="AF149" s="258">
        <v>11</v>
      </c>
    </row>
    <row r="150" spans="32:32" ht="11.45" customHeight="1">
      <c r="AF150" s="258">
        <v>11</v>
      </c>
    </row>
    <row r="151" spans="32:32" ht="11.45" customHeight="1">
      <c r="AF151" s="258">
        <v>11</v>
      </c>
    </row>
    <row r="152" spans="32:32" ht="11.45" customHeight="1">
      <c r="AF152" s="258">
        <v>11</v>
      </c>
    </row>
    <row r="153" spans="32:32" ht="11.45" customHeight="1">
      <c r="AF153" s="258">
        <v>11</v>
      </c>
    </row>
    <row r="154" spans="32:32" ht="11.45" customHeight="1">
      <c r="AF154" s="258">
        <v>11</v>
      </c>
    </row>
    <row r="155" spans="32:32" ht="11.45" customHeight="1">
      <c r="AF155" s="258">
        <v>11</v>
      </c>
    </row>
    <row r="156" spans="32:32" ht="11.45" customHeight="1">
      <c r="AF156" s="258">
        <v>11</v>
      </c>
    </row>
    <row r="157" spans="32:32" ht="11.45" customHeight="1">
      <c r="AF157" s="258">
        <v>11</v>
      </c>
    </row>
    <row r="158" spans="32:32" ht="11.45" customHeight="1">
      <c r="AF158" s="258">
        <v>11</v>
      </c>
    </row>
    <row r="159" spans="32:32" ht="11.45" customHeight="1">
      <c r="AF159" s="258">
        <v>11</v>
      </c>
    </row>
    <row r="160" spans="32:32" ht="11.45" customHeight="1">
      <c r="AF160" s="258">
        <v>11</v>
      </c>
    </row>
    <row r="161" spans="32:32" ht="11.45" customHeight="1">
      <c r="AF161" s="258">
        <v>11</v>
      </c>
    </row>
    <row r="162" spans="32:32" ht="11.45" customHeight="1">
      <c r="AF162" s="258">
        <v>11</v>
      </c>
    </row>
    <row r="163" spans="32:32" ht="11.45" customHeight="1">
      <c r="AF163" s="258">
        <v>11</v>
      </c>
    </row>
    <row r="164" spans="32:32" ht="11.45" customHeight="1">
      <c r="AF164" s="258">
        <v>11</v>
      </c>
    </row>
    <row r="165" spans="32:32" ht="11.45" customHeight="1">
      <c r="AF165" s="258">
        <v>11</v>
      </c>
    </row>
    <row r="166" spans="32:32" ht="11.45" customHeight="1">
      <c r="AF166" s="258">
        <v>11</v>
      </c>
    </row>
    <row r="167" spans="32:32" ht="11.45" customHeight="1">
      <c r="AF167" s="258">
        <v>11</v>
      </c>
    </row>
    <row r="168" spans="32:32" ht="11.45" customHeight="1">
      <c r="AF168" s="258">
        <v>11</v>
      </c>
    </row>
    <row r="169" spans="32:32" ht="11.45" customHeight="1">
      <c r="AF169" s="258">
        <v>11</v>
      </c>
    </row>
    <row r="170" spans="32:32" ht="11.45" customHeight="1">
      <c r="AF170" s="258">
        <v>11</v>
      </c>
    </row>
    <row r="171" spans="32:32" ht="11.45" customHeight="1">
      <c r="AF171" s="258">
        <v>11</v>
      </c>
    </row>
    <row r="172" spans="32:32" ht="11.45" customHeight="1">
      <c r="AF172" s="258">
        <v>11</v>
      </c>
    </row>
    <row r="173" spans="32:32" ht="11.45" customHeight="1">
      <c r="AF173" s="258">
        <v>11</v>
      </c>
    </row>
    <row r="174" spans="32:32" ht="11.45" customHeight="1">
      <c r="AF174" s="258">
        <v>11</v>
      </c>
    </row>
    <row r="175" spans="32:32" ht="11.45" customHeight="1">
      <c r="AF175" s="258">
        <v>11</v>
      </c>
    </row>
    <row r="176" spans="32:32" ht="11.45" customHeight="1">
      <c r="AF176" s="258">
        <v>11</v>
      </c>
    </row>
    <row r="177" spans="32:32" ht="11.45" customHeight="1">
      <c r="AF177" s="258">
        <v>11</v>
      </c>
    </row>
    <row r="178" spans="32:32" ht="11.45" customHeight="1">
      <c r="AF178" s="258">
        <v>11</v>
      </c>
    </row>
    <row r="179" spans="32:32" ht="11.45" customHeight="1">
      <c r="AF179" s="258">
        <v>11</v>
      </c>
    </row>
    <row r="180" spans="32:32" ht="11.45" customHeight="1">
      <c r="AF180" s="258">
        <v>11</v>
      </c>
    </row>
    <row r="181" spans="32:32" ht="11.45" customHeight="1">
      <c r="AF181" s="258">
        <v>11</v>
      </c>
    </row>
    <row r="182" spans="32:32" ht="11.45" customHeight="1">
      <c r="AF182" s="258">
        <v>11</v>
      </c>
    </row>
    <row r="183" spans="32:32" ht="11.45" customHeight="1">
      <c r="AF183" s="258">
        <v>11</v>
      </c>
    </row>
    <row r="184" spans="32:32" ht="11.45" customHeight="1">
      <c r="AF184" s="258">
        <v>11</v>
      </c>
    </row>
    <row r="185" spans="32:32" ht="11.45" customHeight="1">
      <c r="AF185" s="258">
        <v>11</v>
      </c>
    </row>
    <row r="186" spans="32:32" ht="11.45" customHeight="1">
      <c r="AF186" s="258">
        <v>11</v>
      </c>
    </row>
    <row r="187" spans="32:32" ht="11.45" customHeight="1">
      <c r="AF187" s="258">
        <v>11</v>
      </c>
    </row>
    <row r="188" spans="32:32" ht="11.45" customHeight="1">
      <c r="AF188" s="258">
        <v>11</v>
      </c>
    </row>
    <row r="189" spans="32:32" ht="11.45" customHeight="1">
      <c r="AF189" s="258">
        <v>11</v>
      </c>
    </row>
    <row r="190" spans="32:32" ht="11.45" customHeight="1">
      <c r="AF190" s="258">
        <v>11</v>
      </c>
    </row>
    <row r="191" spans="32:32" ht="11.45" customHeight="1">
      <c r="AF191" s="258">
        <v>11</v>
      </c>
    </row>
    <row r="192" spans="32:32" ht="11.45" customHeight="1">
      <c r="AF192" s="258">
        <v>11</v>
      </c>
    </row>
    <row r="193" spans="32:32" ht="11.45" customHeight="1">
      <c r="AF193" s="258">
        <v>11</v>
      </c>
    </row>
    <row r="194" spans="32:32" ht="11.45" customHeight="1">
      <c r="AF194" s="258">
        <v>11</v>
      </c>
    </row>
    <row r="195" spans="32:32" ht="11.45" customHeight="1">
      <c r="AF195" s="258">
        <v>11</v>
      </c>
    </row>
    <row r="196" spans="32:32" ht="11.45" customHeight="1">
      <c r="AF196" s="17">
        <v>11</v>
      </c>
    </row>
    <row r="197" spans="32:32" ht="11.45" customHeight="1">
      <c r="AF197" s="17">
        <v>11</v>
      </c>
    </row>
    <row r="198" spans="32:32" ht="11.45" customHeight="1">
      <c r="AF198" s="17">
        <v>11</v>
      </c>
    </row>
    <row r="199" spans="32:32" ht="11.45" customHeight="1">
      <c r="AF199" s="17">
        <v>11</v>
      </c>
    </row>
    <row r="200" spans="32:32" ht="11.45" customHeight="1">
      <c r="AF200" s="17">
        <v>11</v>
      </c>
    </row>
    <row r="201" spans="32:32" ht="11.45" customHeight="1">
      <c r="AF201" s="17">
        <v>11</v>
      </c>
    </row>
    <row r="202" spans="32:32" ht="11.45" customHeight="1">
      <c r="AF202" s="17">
        <v>11</v>
      </c>
    </row>
    <row r="203" spans="32:32" ht="11.45" customHeight="1">
      <c r="AF203" s="17">
        <v>11</v>
      </c>
    </row>
    <row r="204" spans="32:32" ht="11.45" customHeight="1">
      <c r="AF204" s="17">
        <v>11</v>
      </c>
    </row>
    <row r="205" spans="32:32" ht="11.45" customHeight="1">
      <c r="AF205" s="17">
        <v>11</v>
      </c>
    </row>
    <row r="206" spans="32:32" ht="11.45" customHeight="1">
      <c r="AF206" s="17">
        <v>11</v>
      </c>
    </row>
    <row r="207" spans="32:32" ht="11.45" customHeight="1">
      <c r="AF207" s="17">
        <v>11</v>
      </c>
    </row>
    <row r="208" spans="32:32" ht="11.45" customHeight="1">
      <c r="AF208" s="17">
        <v>11</v>
      </c>
    </row>
    <row r="209" spans="1:32" ht="11.45" customHeight="1">
      <c r="AF209" s="17">
        <v>11</v>
      </c>
    </row>
    <row r="210" spans="1:32" ht="11.25" hidden="1" customHeight="1">
      <c r="A210" s="492" t="s">
        <v>82</v>
      </c>
      <c r="B210" s="37">
        <v>0</v>
      </c>
      <c r="C210" s="75">
        <v>0</v>
      </c>
      <c r="D210" s="17">
        <v>3</v>
      </c>
      <c r="E210" s="17">
        <v>7</v>
      </c>
      <c r="F210" s="17">
        <v>54</v>
      </c>
      <c r="G210" s="17">
        <v>10</v>
      </c>
      <c r="H210" s="17">
        <v>0</v>
      </c>
      <c r="I210" s="17">
        <v>40</v>
      </c>
      <c r="J210" s="17">
        <v>102</v>
      </c>
      <c r="K210" s="37">
        <v>9</v>
      </c>
      <c r="L210" s="75">
        <v>5</v>
      </c>
      <c r="M210" s="75">
        <v>3</v>
      </c>
      <c r="N210" s="37">
        <v>3</v>
      </c>
      <c r="O210" s="37">
        <v>3</v>
      </c>
      <c r="P210" s="37">
        <v>3</v>
      </c>
      <c r="Q210" s="37">
        <v>3</v>
      </c>
      <c r="R210" s="75">
        <v>10</v>
      </c>
      <c r="S210" s="37">
        <v>34</v>
      </c>
      <c r="T210" s="37">
        <v>9</v>
      </c>
      <c r="U210" s="493">
        <v>8</v>
      </c>
      <c r="V210" s="37">
        <v>8</v>
      </c>
      <c r="W210" s="37">
        <v>8</v>
      </c>
      <c r="X210" s="37">
        <v>8</v>
      </c>
      <c r="Y210" s="37">
        <v>8</v>
      </c>
      <c r="Z210" s="37">
        <v>8</v>
      </c>
      <c r="AA210" s="15">
        <v>8</v>
      </c>
      <c r="AB210" s="15">
        <v>8</v>
      </c>
      <c r="AC210" s="15">
        <v>8</v>
      </c>
      <c r="AD210" s="15">
        <v>8</v>
      </c>
      <c r="AE210" s="15">
        <v>8</v>
      </c>
      <c r="AF210" s="1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C4DD-D534-5F68-54D8-712C8BF94749}">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hidden="1" customWidth="1"/>
    <col min="2" max="2" width="3.5703125" hidden="1" customWidth="1"/>
    <col min="3" max="3" width="3" customWidth="1"/>
    <col min="4" max="4" width="7" customWidth="1"/>
    <col min="5" max="5" width="69" customWidth="1"/>
    <col min="6" max="6" width="10" customWidth="1"/>
    <col min="7" max="8" width="44" hidden="1" customWidth="1"/>
    <col min="9" max="9" width="44" customWidth="1"/>
    <col min="10" max="10" width="43" customWidth="1"/>
    <col min="11" max="11" width="73" customWidth="1"/>
    <col min="12" max="12" width="3" customWidth="1"/>
    <col min="13" max="23" width="10" customWidth="1"/>
    <col min="24" max="24" width="10.5703125" hidden="1"/>
  </cols>
  <sheetData>
    <row r="1" spans="1:24" ht="22.5" hidden="1" customHeight="1">
      <c r="G1" s="37">
        <v>4</v>
      </c>
      <c r="I1" s="37">
        <v>4</v>
      </c>
      <c r="K1" s="37">
        <v>5</v>
      </c>
      <c r="X1" s="37" t="s">
        <v>14</v>
      </c>
    </row>
    <row r="2" spans="1:24" ht="3" customHeight="1">
      <c r="X2" s="17">
        <v>3</v>
      </c>
    </row>
    <row r="3" spans="1:24" ht="78.75" customHeight="1">
      <c r="D3" s="9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989"/>
      <c r="F3" s="990"/>
      <c r="X3" s="17">
        <v>75</v>
      </c>
    </row>
    <row r="4" spans="1:24" ht="21" customHeight="1">
      <c r="D4" s="1087" t="str">
        <f>IF(org=0,"Не определено",org)</f>
        <v>ООО "ТВС"</v>
      </c>
      <c r="E4" s="1088"/>
      <c r="F4" s="1089"/>
      <c r="X4" s="17">
        <v>20</v>
      </c>
    </row>
    <row r="5" spans="1:24" ht="11.45" customHeight="1">
      <c r="H5" s="184"/>
      <c r="J5" s="184"/>
      <c r="X5" s="17">
        <v>11</v>
      </c>
    </row>
    <row r="6" spans="1:24" ht="1.1499999999999999" customHeight="1">
      <c r="G6" s="545"/>
      <c r="H6" s="545"/>
      <c r="I6" s="545" t="s">
        <v>119</v>
      </c>
      <c r="J6" s="545"/>
      <c r="X6" s="17">
        <v>1</v>
      </c>
    </row>
    <row r="7" spans="1:24" ht="11.45" customHeight="1">
      <c r="D7" s="449"/>
      <c r="E7" s="1197" t="s">
        <v>106</v>
      </c>
      <c r="F7" s="1198"/>
      <c r="G7" s="1216" t="str">
        <f>IF(G6="","",INDEX(DIFFERENTIATION_UNMERGE_VD,MATCH(G6,DIFFERENTIATION_ID_DIFF,0)))</f>
        <v/>
      </c>
      <c r="H7" s="1217"/>
      <c r="I7" s="1216" t="str">
        <f>IF(I6="","",INDEX(DIFFERENTIATION_UNMERGE_VD,MATCH(I6,DIFFERENTIATION_ID_DIFF,0)))</f>
        <v>Подключение (технологическое присоединение) к системе теплоснабжения</v>
      </c>
      <c r="J7" s="1217"/>
      <c r="K7" s="1046"/>
      <c r="X7" s="17">
        <v>11</v>
      </c>
    </row>
    <row r="8" spans="1:24" ht="11.45" customHeight="1">
      <c r="D8" s="449"/>
      <c r="E8" s="1197" t="s">
        <v>565</v>
      </c>
      <c r="F8" s="1198"/>
      <c r="G8" s="1216" t="str">
        <f>IF(G6="","",INDEX(DIFFERENTIATION_UNMERGE_AREA,MATCH(G6,DIFFERENTIATION_ID_DIFF,0)))</f>
        <v/>
      </c>
      <c r="H8" s="1217"/>
      <c r="I8" s="1216" t="str">
        <f>IF(I6="","",INDEX(DIFFERENTIATION_UNMERGE_AREA,MATCH(I6,DIFFERENTIATION_ID_DIFF,0)))</f>
        <v>Территория 1</v>
      </c>
      <c r="J8" s="1217"/>
      <c r="K8" s="1051"/>
      <c r="X8" s="17">
        <v>11</v>
      </c>
    </row>
    <row r="9" spans="1:24" ht="11.45" customHeight="1">
      <c r="D9" s="449"/>
      <c r="E9" s="1197" t="s">
        <v>566</v>
      </c>
      <c r="F9" s="1198"/>
      <c r="G9" s="1216" t="str">
        <f>IF(G6="","",INDEX(DIFFERENTIATION_UNMERGE_SYSTEM,MATCH(G6,DIFFERENTIATION_ID_DIFF,0)))</f>
        <v/>
      </c>
      <c r="H9" s="1217"/>
      <c r="I9" s="1216" t="str">
        <f>IF(I6="","",INDEX(DIFFERENTIATION_UNMERGE_SYSTEM,MATCH(I6,DIFFERENTIATION_ID_DIFF,0)))</f>
        <v>в зоне поставки котельной, расположенной по адресу: г. Москва, поселение Московский, Передельцевский проезд, стр.2</v>
      </c>
      <c r="J9" s="1217"/>
      <c r="K9" s="1051"/>
      <c r="X9" s="17">
        <v>11</v>
      </c>
    </row>
    <row r="10" spans="1:24" ht="11.45" customHeight="1">
      <c r="D10" s="977" t="s">
        <v>301</v>
      </c>
      <c r="E10" s="982"/>
      <c r="F10" s="982"/>
      <c r="G10" s="982"/>
      <c r="H10" s="982"/>
      <c r="I10" s="982"/>
      <c r="J10" s="976"/>
      <c r="K10" s="1051"/>
      <c r="X10" s="17">
        <v>11</v>
      </c>
    </row>
    <row r="11" spans="1:24" ht="24" customHeight="1">
      <c r="A11" s="964"/>
      <c r="B11" s="964"/>
      <c r="D11" s="88" t="s">
        <v>88</v>
      </c>
      <c r="E11" s="88" t="s">
        <v>808</v>
      </c>
      <c r="F11" s="88" t="s">
        <v>567</v>
      </c>
      <c r="G11" s="88" t="s">
        <v>304</v>
      </c>
      <c r="H11" s="88" t="s">
        <v>391</v>
      </c>
      <c r="I11" s="88" t="s">
        <v>304</v>
      </c>
      <c r="J11" s="22" t="s">
        <v>391</v>
      </c>
      <c r="K11" s="1098"/>
      <c r="X11" s="17">
        <v>23</v>
      </c>
    </row>
    <row r="12" spans="1:24" ht="10.5" customHeight="1">
      <c r="D12" s="411" t="s">
        <v>110</v>
      </c>
      <c r="E12" s="411" t="s">
        <v>111</v>
      </c>
      <c r="F12" s="411" t="s">
        <v>90</v>
      </c>
      <c r="G12" s="73" t="str">
        <f>G1&amp;".1"</f>
        <v>4.1</v>
      </c>
      <c r="H12" s="73" t="str">
        <f>G1&amp;".2"</f>
        <v>4.2</v>
      </c>
      <c r="I12" s="73" t="str">
        <f>I1&amp;".1"</f>
        <v>4.1</v>
      </c>
      <c r="J12" s="73" t="str">
        <f>I1&amp;".2"</f>
        <v>4.2</v>
      </c>
      <c r="X12" s="75">
        <v>10</v>
      </c>
    </row>
    <row r="13" spans="1:24" ht="22.5" customHeight="1">
      <c r="A13" s="1218" t="s">
        <v>809</v>
      </c>
      <c r="D13" s="121" t="s">
        <v>110</v>
      </c>
      <c r="E13" s="165" t="s">
        <v>810</v>
      </c>
      <c r="F13" s="79" t="s">
        <v>811</v>
      </c>
      <c r="G13" s="453"/>
      <c r="H13" s="515"/>
      <c r="I13" s="453"/>
      <c r="J13" s="515"/>
      <c r="K13" s="296" t="s">
        <v>812</v>
      </c>
      <c r="L13" s="546"/>
      <c r="X13" s="17">
        <v>0</v>
      </c>
    </row>
    <row r="14" spans="1:24" ht="22.5" customHeight="1">
      <c r="A14" s="1218"/>
      <c r="D14" s="121" t="s">
        <v>111</v>
      </c>
      <c r="E14" s="165" t="s">
        <v>813</v>
      </c>
      <c r="F14" s="79" t="s">
        <v>814</v>
      </c>
      <c r="G14" s="453"/>
      <c r="H14" s="515"/>
      <c r="I14" s="453"/>
      <c r="J14" s="515"/>
      <c r="K14" s="296" t="s">
        <v>815</v>
      </c>
      <c r="L14" s="546"/>
      <c r="X14" s="17">
        <v>0</v>
      </c>
    </row>
    <row r="15" spans="1:24" ht="78.75" customHeight="1">
      <c r="A15" s="1218"/>
      <c r="D15" s="121" t="s">
        <v>90</v>
      </c>
      <c r="E15" s="165" t="s">
        <v>816</v>
      </c>
      <c r="F15" s="88" t="s">
        <v>307</v>
      </c>
      <c r="G15" s="88" t="s">
        <v>307</v>
      </c>
      <c r="H15" s="225"/>
      <c r="I15" s="88" t="s">
        <v>307</v>
      </c>
      <c r="J15" s="225"/>
      <c r="K15" s="296" t="s">
        <v>817</v>
      </c>
      <c r="L15" s="546"/>
      <c r="X15" s="17">
        <v>0</v>
      </c>
    </row>
    <row r="16" spans="1:24" ht="22.5" customHeight="1">
      <c r="A16" s="1218"/>
      <c r="D16" s="121" t="s">
        <v>325</v>
      </c>
      <c r="E16" s="421" t="s">
        <v>818</v>
      </c>
      <c r="F16" s="88" t="s">
        <v>819</v>
      </c>
      <c r="G16" s="547"/>
      <c r="H16" s="225"/>
      <c r="I16" s="547"/>
      <c r="J16" s="225"/>
      <c r="K16" s="296"/>
      <c r="L16" s="546"/>
      <c r="X16" s="17">
        <v>0</v>
      </c>
    </row>
    <row r="17" spans="1:24" ht="22.5" customHeight="1">
      <c r="A17" s="1218"/>
      <c r="D17" s="121" t="s">
        <v>333</v>
      </c>
      <c r="E17" s="421" t="s">
        <v>820</v>
      </c>
      <c r="F17" s="88" t="s">
        <v>821</v>
      </c>
      <c r="G17" s="547"/>
      <c r="H17" s="225"/>
      <c r="I17" s="547"/>
      <c r="J17" s="225"/>
      <c r="K17" s="296"/>
      <c r="L17" s="546"/>
      <c r="X17" s="17">
        <v>0</v>
      </c>
    </row>
    <row r="18" spans="1:24" ht="33.75" customHeight="1">
      <c r="A18" s="1218"/>
      <c r="D18" s="121" t="s">
        <v>335</v>
      </c>
      <c r="E18" s="421" t="s">
        <v>822</v>
      </c>
      <c r="F18" s="88" t="s">
        <v>572</v>
      </c>
      <c r="G18" s="548"/>
      <c r="H18" s="225"/>
      <c r="I18" s="548"/>
      <c r="J18" s="225"/>
      <c r="K18" s="296"/>
      <c r="L18" s="546"/>
      <c r="X18" s="17">
        <v>0</v>
      </c>
    </row>
    <row r="19" spans="1:24" ht="101.25" customHeight="1">
      <c r="A19" s="1218"/>
      <c r="D19" s="121" t="s">
        <v>91</v>
      </c>
      <c r="E19" s="165" t="s">
        <v>823</v>
      </c>
      <c r="F19" s="79" t="s">
        <v>547</v>
      </c>
      <c r="G19" s="273"/>
      <c r="H19" s="515"/>
      <c r="I19" s="273"/>
      <c r="J19" s="515"/>
      <c r="K19" s="296" t="s">
        <v>824</v>
      </c>
      <c r="L19" s="546"/>
      <c r="X19" s="17">
        <v>0</v>
      </c>
    </row>
    <row r="20" spans="1:24" ht="18.75" customHeight="1">
      <c r="A20" s="1218"/>
      <c r="D20" s="121" t="s">
        <v>755</v>
      </c>
      <c r="E20" s="421" t="s">
        <v>825</v>
      </c>
      <c r="F20" s="88" t="s">
        <v>307</v>
      </c>
      <c r="G20" s="88" t="s">
        <v>307</v>
      </c>
      <c r="H20" s="161" t="s">
        <v>307</v>
      </c>
      <c r="I20" s="88" t="s">
        <v>307</v>
      </c>
      <c r="J20" s="161" t="s">
        <v>307</v>
      </c>
      <c r="K20" s="22"/>
      <c r="L20" s="546"/>
      <c r="X20" s="17">
        <v>0</v>
      </c>
    </row>
    <row r="21" spans="1:24" ht="33.75" customHeight="1">
      <c r="A21" s="1218"/>
      <c r="D21" s="121" t="s">
        <v>758</v>
      </c>
      <c r="E21" s="465" t="s">
        <v>826</v>
      </c>
      <c r="F21" s="88" t="s">
        <v>827</v>
      </c>
      <c r="G21" s="548"/>
      <c r="H21" s="225"/>
      <c r="I21" s="548"/>
      <c r="J21" s="225"/>
      <c r="K21" s="22"/>
      <c r="L21" s="546"/>
      <c r="X21" s="17">
        <v>0</v>
      </c>
    </row>
    <row r="22" spans="1:24" ht="33.75" customHeight="1">
      <c r="A22" s="1218"/>
      <c r="D22" s="121" t="s">
        <v>761</v>
      </c>
      <c r="E22" s="465" t="s">
        <v>828</v>
      </c>
      <c r="F22" s="88" t="s">
        <v>829</v>
      </c>
      <c r="G22" s="548"/>
      <c r="H22" s="225"/>
      <c r="I22" s="548"/>
      <c r="J22" s="225"/>
      <c r="K22" s="22"/>
      <c r="L22" s="546"/>
      <c r="X22" s="17">
        <v>0</v>
      </c>
    </row>
    <row r="23" spans="1:24" ht="22.5" customHeight="1">
      <c r="A23" s="1218"/>
      <c r="D23" s="121" t="s">
        <v>797</v>
      </c>
      <c r="E23" s="421" t="s">
        <v>830</v>
      </c>
      <c r="F23" s="88" t="s">
        <v>307</v>
      </c>
      <c r="G23" s="88" t="s">
        <v>307</v>
      </c>
      <c r="H23" s="161" t="s">
        <v>307</v>
      </c>
      <c r="I23" s="88" t="s">
        <v>307</v>
      </c>
      <c r="J23" s="161" t="s">
        <v>307</v>
      </c>
      <c r="K23" s="22"/>
      <c r="L23" s="546"/>
      <c r="X23" s="17">
        <v>0</v>
      </c>
    </row>
    <row r="24" spans="1:24" ht="22.5" customHeight="1">
      <c r="A24" s="1218"/>
      <c r="D24" s="121" t="s">
        <v>831</v>
      </c>
      <c r="E24" s="465" t="s">
        <v>832</v>
      </c>
      <c r="F24" s="88" t="s">
        <v>833</v>
      </c>
      <c r="G24" s="548"/>
      <c r="H24" s="425"/>
      <c r="I24" s="548"/>
      <c r="J24" s="425"/>
      <c r="K24" s="22"/>
      <c r="L24" s="546"/>
      <c r="X24" s="17">
        <v>0</v>
      </c>
    </row>
    <row r="25" spans="1:24" ht="22.5" customHeight="1">
      <c r="A25" s="1218"/>
      <c r="D25" s="121" t="s">
        <v>834</v>
      </c>
      <c r="E25" s="465" t="s">
        <v>835</v>
      </c>
      <c r="F25" s="88" t="s">
        <v>307</v>
      </c>
      <c r="G25" s="88" t="s">
        <v>307</v>
      </c>
      <c r="H25" s="161" t="s">
        <v>307</v>
      </c>
      <c r="I25" s="88" t="s">
        <v>307</v>
      </c>
      <c r="J25" s="161" t="s">
        <v>307</v>
      </c>
      <c r="K25" s="22"/>
      <c r="L25" s="546"/>
      <c r="X25" s="17">
        <v>0</v>
      </c>
    </row>
    <row r="26" spans="1:24" ht="18.75" customHeight="1">
      <c r="A26" s="1218"/>
      <c r="D26" s="121" t="s">
        <v>836</v>
      </c>
      <c r="E26" s="442" t="s">
        <v>837</v>
      </c>
      <c r="F26" s="88" t="s">
        <v>838</v>
      </c>
      <c r="G26" s="548"/>
      <c r="H26" s="425"/>
      <c r="I26" s="548"/>
      <c r="J26" s="425"/>
      <c r="K26" s="22"/>
      <c r="L26" s="546"/>
      <c r="X26" s="17">
        <v>0</v>
      </c>
    </row>
    <row r="27" spans="1:24" ht="18.75" customHeight="1">
      <c r="A27" s="1218"/>
      <c r="D27" s="121" t="s">
        <v>839</v>
      </c>
      <c r="E27" s="442" t="s">
        <v>840</v>
      </c>
      <c r="F27" s="88" t="s">
        <v>841</v>
      </c>
      <c r="G27" s="548"/>
      <c r="H27" s="425"/>
      <c r="I27" s="548"/>
      <c r="J27" s="425"/>
      <c r="K27" s="22"/>
      <c r="L27" s="546"/>
      <c r="X27" s="17">
        <v>0</v>
      </c>
    </row>
    <row r="28" spans="1:24" ht="18.75" customHeight="1">
      <c r="A28" s="1218"/>
      <c r="D28" s="121" t="s">
        <v>842</v>
      </c>
      <c r="E28" s="465" t="s">
        <v>843</v>
      </c>
      <c r="F28" s="88" t="s">
        <v>307</v>
      </c>
      <c r="G28" s="88" t="s">
        <v>307</v>
      </c>
      <c r="H28" s="161" t="s">
        <v>307</v>
      </c>
      <c r="I28" s="88" t="s">
        <v>307</v>
      </c>
      <c r="J28" s="161" t="s">
        <v>307</v>
      </c>
      <c r="K28" s="22"/>
      <c r="L28" s="546"/>
      <c r="X28" s="17">
        <v>0</v>
      </c>
    </row>
    <row r="29" spans="1:24" ht="18.75" customHeight="1">
      <c r="A29" s="1218"/>
      <c r="D29" s="121" t="s">
        <v>844</v>
      </c>
      <c r="E29" s="442" t="s">
        <v>837</v>
      </c>
      <c r="F29" s="88" t="s">
        <v>845</v>
      </c>
      <c r="G29" s="548"/>
      <c r="H29" s="425"/>
      <c r="I29" s="548"/>
      <c r="J29" s="425"/>
      <c r="K29" s="22"/>
      <c r="L29" s="546"/>
      <c r="X29" s="17">
        <v>0</v>
      </c>
    </row>
    <row r="30" spans="1:24" ht="18.75" customHeight="1">
      <c r="A30" s="1218"/>
      <c r="D30" s="121" t="s">
        <v>846</v>
      </c>
      <c r="E30" s="442" t="s">
        <v>847</v>
      </c>
      <c r="F30" s="88" t="s">
        <v>848</v>
      </c>
      <c r="G30" s="548"/>
      <c r="H30" s="425"/>
      <c r="I30" s="548"/>
      <c r="J30" s="425"/>
      <c r="K30" s="22"/>
      <c r="L30" s="546"/>
      <c r="X30" s="17">
        <v>0</v>
      </c>
    </row>
    <row r="31" spans="1:24" ht="126.75" customHeight="1">
      <c r="A31" s="1218"/>
      <c r="D31" s="121" t="s">
        <v>112</v>
      </c>
      <c r="E31" s="165" t="s">
        <v>849</v>
      </c>
      <c r="F31" s="79" t="s">
        <v>559</v>
      </c>
      <c r="G31" s="453"/>
      <c r="H31" s="515"/>
      <c r="I31" s="453"/>
      <c r="J31" s="515"/>
      <c r="K31" s="296" t="s">
        <v>850</v>
      </c>
      <c r="L31" s="546"/>
      <c r="X31" s="17">
        <v>0</v>
      </c>
    </row>
    <row r="32" spans="1:24" ht="56.25" customHeight="1">
      <c r="A32" s="1218"/>
      <c r="D32" s="121" t="s">
        <v>92</v>
      </c>
      <c r="E32" s="165" t="s">
        <v>851</v>
      </c>
      <c r="F32" s="121" t="s">
        <v>821</v>
      </c>
      <c r="G32" s="453"/>
      <c r="H32" s="515"/>
      <c r="I32" s="453"/>
      <c r="J32" s="515"/>
      <c r="K32" s="296" t="s">
        <v>852</v>
      </c>
      <c r="L32" s="546"/>
      <c r="X32" s="17">
        <v>0</v>
      </c>
    </row>
    <row r="33" spans="1:24" ht="11.25" customHeight="1">
      <c r="A33" s="1218"/>
      <c r="X33" s="17">
        <v>0</v>
      </c>
    </row>
    <row r="34" spans="1:24" ht="12.75" customHeight="1">
      <c r="A34" s="1218"/>
      <c r="D34" s="549">
        <v>1</v>
      </c>
      <c r="E34" s="550" t="s">
        <v>853</v>
      </c>
      <c r="X34" s="17">
        <v>0</v>
      </c>
    </row>
    <row r="35" spans="1:24" ht="11.25" customHeight="1">
      <c r="A35" s="1218"/>
      <c r="E35" s="550" t="s">
        <v>854</v>
      </c>
      <c r="X35" s="17">
        <v>0</v>
      </c>
    </row>
    <row r="36" spans="1:24" ht="11.45" customHeight="1">
      <c r="X36" s="17">
        <v>11</v>
      </c>
    </row>
    <row r="37" spans="1:24" ht="22.5" hidden="1" customHeight="1">
      <c r="A37" s="1218" t="s">
        <v>855</v>
      </c>
      <c r="D37" s="121">
        <v>1</v>
      </c>
      <c r="E37" s="165" t="s">
        <v>856</v>
      </c>
      <c r="F37" s="79" t="s">
        <v>811</v>
      </c>
      <c r="G37" s="453"/>
      <c r="H37" s="551"/>
      <c r="I37" s="453"/>
      <c r="J37" s="551"/>
      <c r="K37" s="296" t="s">
        <v>857</v>
      </c>
      <c r="X37" s="17">
        <v>0</v>
      </c>
    </row>
    <row r="38" spans="1:24" ht="22.5" hidden="1" customHeight="1">
      <c r="A38" s="1218"/>
      <c r="D38" s="552" t="s">
        <v>111</v>
      </c>
      <c r="E38" s="553" t="s">
        <v>858</v>
      </c>
      <c r="F38" s="554" t="s">
        <v>547</v>
      </c>
      <c r="G38" s="554" t="s">
        <v>547</v>
      </c>
      <c r="H38" s="555"/>
      <c r="I38" s="554" t="s">
        <v>547</v>
      </c>
      <c r="J38" s="555"/>
      <c r="K38" s="343"/>
      <c r="X38" s="17">
        <v>0</v>
      </c>
    </row>
    <row r="39" spans="1:24" ht="33.75" hidden="1" customHeight="1">
      <c r="A39" s="1218"/>
      <c r="D39" s="556" t="s">
        <v>713</v>
      </c>
      <c r="E39" s="557" t="s">
        <v>859</v>
      </c>
      <c r="F39" s="79" t="s">
        <v>860</v>
      </c>
      <c r="G39" s="558"/>
      <c r="H39" s="559"/>
      <c r="I39" s="558"/>
      <c r="J39" s="559"/>
      <c r="K39" s="296" t="s">
        <v>861</v>
      </c>
      <c r="X39" s="17">
        <v>0</v>
      </c>
    </row>
    <row r="40" spans="1:24" ht="33.75" hidden="1" customHeight="1">
      <c r="A40" s="1218"/>
      <c r="D40" s="556" t="s">
        <v>716</v>
      </c>
      <c r="E40" s="557" t="s">
        <v>862</v>
      </c>
      <c r="F40" s="560" t="s">
        <v>863</v>
      </c>
      <c r="G40" s="561"/>
      <c r="H40" s="559"/>
      <c r="I40" s="561"/>
      <c r="J40" s="559"/>
      <c r="K40" s="296" t="s">
        <v>864</v>
      </c>
      <c r="X40" s="17">
        <v>0</v>
      </c>
    </row>
    <row r="41" spans="1:24" ht="22.5" hidden="1" customHeight="1">
      <c r="A41" s="1218"/>
      <c r="D41" s="556" t="s">
        <v>90</v>
      </c>
      <c r="E41" s="562" t="s">
        <v>865</v>
      </c>
      <c r="F41" s="79" t="s">
        <v>547</v>
      </c>
      <c r="G41" s="79" t="s">
        <v>547</v>
      </c>
      <c r="H41" s="563"/>
      <c r="I41" s="79" t="s">
        <v>547</v>
      </c>
      <c r="J41" s="563"/>
      <c r="K41" s="344"/>
      <c r="X41" s="17">
        <v>0</v>
      </c>
    </row>
    <row r="42" spans="1:24" ht="45" hidden="1" customHeight="1">
      <c r="A42" s="1218"/>
      <c r="D42" s="556" t="s">
        <v>325</v>
      </c>
      <c r="E42" s="557" t="s">
        <v>866</v>
      </c>
      <c r="F42" s="79" t="s">
        <v>559</v>
      </c>
      <c r="G42" s="453"/>
      <c r="H42" s="563"/>
      <c r="I42" s="453"/>
      <c r="J42" s="563"/>
      <c r="K42" s="344" t="s">
        <v>867</v>
      </c>
      <c r="X42" s="17">
        <v>0</v>
      </c>
    </row>
    <row r="43" spans="1:24" ht="45" hidden="1" customHeight="1">
      <c r="A43" s="1218"/>
      <c r="D43" s="556" t="s">
        <v>333</v>
      </c>
      <c r="E43" s="564" t="s">
        <v>868</v>
      </c>
      <c r="F43" s="565" t="s">
        <v>559</v>
      </c>
      <c r="G43" s="482"/>
      <c r="H43" s="559"/>
      <c r="I43" s="482"/>
      <c r="J43" s="559"/>
      <c r="K43" s="344" t="s">
        <v>869</v>
      </c>
      <c r="X43" s="17">
        <v>0</v>
      </c>
    </row>
    <row r="44" spans="1:24" ht="11.25" hidden="1" customHeight="1">
      <c r="A44" s="1218"/>
      <c r="D44" s="556" t="s">
        <v>91</v>
      </c>
      <c r="E44" s="566" t="s">
        <v>870</v>
      </c>
      <c r="F44" s="79" t="s">
        <v>860</v>
      </c>
      <c r="G44" s="558"/>
      <c r="H44" s="559"/>
      <c r="I44" s="558"/>
      <c r="J44" s="559"/>
      <c r="K44" s="296"/>
      <c r="X44" s="17">
        <v>0</v>
      </c>
    </row>
    <row r="45" spans="1:24" ht="11.25" hidden="1" customHeight="1">
      <c r="A45" s="1218"/>
      <c r="D45" s="556" t="s">
        <v>755</v>
      </c>
      <c r="E45" s="564" t="s">
        <v>871</v>
      </c>
      <c r="F45" s="79" t="s">
        <v>860</v>
      </c>
      <c r="G45" s="558"/>
      <c r="H45" s="559"/>
      <c r="I45" s="558"/>
      <c r="J45" s="559"/>
      <c r="K45" s="296"/>
      <c r="X45" s="17">
        <v>0</v>
      </c>
    </row>
    <row r="46" spans="1:24" ht="11.25" hidden="1" customHeight="1">
      <c r="A46" s="1218"/>
      <c r="D46" s="556" t="s">
        <v>797</v>
      </c>
      <c r="E46" s="564" t="s">
        <v>872</v>
      </c>
      <c r="F46" s="79" t="s">
        <v>860</v>
      </c>
      <c r="G46" s="558"/>
      <c r="H46" s="559"/>
      <c r="I46" s="558"/>
      <c r="J46" s="559"/>
      <c r="K46" s="296"/>
      <c r="X46" s="17">
        <v>0</v>
      </c>
    </row>
    <row r="47" spans="1:24" ht="11.25" hidden="1" customHeight="1">
      <c r="A47" s="1218"/>
      <c r="D47" s="556" t="s">
        <v>800</v>
      </c>
      <c r="E47" s="564" t="s">
        <v>873</v>
      </c>
      <c r="F47" s="79" t="s">
        <v>860</v>
      </c>
      <c r="G47" s="558"/>
      <c r="H47" s="559"/>
      <c r="I47" s="558"/>
      <c r="J47" s="559"/>
      <c r="K47" s="296"/>
      <c r="X47" s="17">
        <v>0</v>
      </c>
    </row>
    <row r="48" spans="1:24" ht="11.25" hidden="1" customHeight="1">
      <c r="A48" s="1218"/>
      <c r="D48" s="556" t="s">
        <v>874</v>
      </c>
      <c r="E48" s="567" t="s">
        <v>875</v>
      </c>
      <c r="F48" s="79" t="s">
        <v>860</v>
      </c>
      <c r="G48" s="558"/>
      <c r="H48" s="559"/>
      <c r="I48" s="558"/>
      <c r="J48" s="559"/>
      <c r="K48" s="296"/>
      <c r="X48" s="17">
        <v>0</v>
      </c>
    </row>
    <row r="49" spans="1:24" ht="11.25" hidden="1" customHeight="1">
      <c r="A49" s="1218"/>
      <c r="D49" s="556" t="s">
        <v>876</v>
      </c>
      <c r="E49" s="567" t="s">
        <v>877</v>
      </c>
      <c r="F49" s="79" t="s">
        <v>860</v>
      </c>
      <c r="G49" s="558"/>
      <c r="H49" s="559"/>
      <c r="I49" s="558"/>
      <c r="J49" s="559"/>
      <c r="K49" s="296"/>
      <c r="X49" s="17">
        <v>0</v>
      </c>
    </row>
    <row r="50" spans="1:24" ht="11.25" hidden="1" customHeight="1">
      <c r="A50" s="1218"/>
      <c r="D50" s="556" t="s">
        <v>878</v>
      </c>
      <c r="E50" s="564" t="s">
        <v>879</v>
      </c>
      <c r="F50" s="79" t="s">
        <v>860</v>
      </c>
      <c r="G50" s="558"/>
      <c r="H50" s="559"/>
      <c r="I50" s="558"/>
      <c r="J50" s="559"/>
      <c r="K50" s="296"/>
      <c r="X50" s="17">
        <v>0</v>
      </c>
    </row>
    <row r="51" spans="1:24" ht="11.25" hidden="1" customHeight="1">
      <c r="A51" s="1218"/>
      <c r="D51" s="556" t="s">
        <v>880</v>
      </c>
      <c r="E51" s="564" t="s">
        <v>881</v>
      </c>
      <c r="F51" s="79" t="s">
        <v>860</v>
      </c>
      <c r="G51" s="558"/>
      <c r="H51" s="559"/>
      <c r="I51" s="558"/>
      <c r="J51" s="559"/>
      <c r="K51" s="296"/>
      <c r="X51" s="17">
        <v>0</v>
      </c>
    </row>
    <row r="52" spans="1:24" ht="45" hidden="1" customHeight="1">
      <c r="A52" s="1218"/>
      <c r="D52" s="556" t="s">
        <v>112</v>
      </c>
      <c r="E52" s="566" t="s">
        <v>882</v>
      </c>
      <c r="F52" s="79" t="s">
        <v>860</v>
      </c>
      <c r="G52" s="558"/>
      <c r="H52" s="559"/>
      <c r="I52" s="558"/>
      <c r="J52" s="559"/>
      <c r="K52" s="296"/>
      <c r="X52" s="17">
        <v>0</v>
      </c>
    </row>
    <row r="53" spans="1:24" ht="11.25" hidden="1" customHeight="1">
      <c r="A53" s="1218"/>
      <c r="D53" s="556" t="s">
        <v>314</v>
      </c>
      <c r="E53" s="564" t="s">
        <v>871</v>
      </c>
      <c r="F53" s="79" t="s">
        <v>860</v>
      </c>
      <c r="G53" s="558"/>
      <c r="H53" s="559"/>
      <c r="I53" s="558"/>
      <c r="J53" s="559"/>
      <c r="K53" s="296"/>
      <c r="X53" s="17">
        <v>0</v>
      </c>
    </row>
    <row r="54" spans="1:24" ht="11.25" hidden="1" customHeight="1">
      <c r="A54" s="1218"/>
      <c r="D54" s="556" t="s">
        <v>883</v>
      </c>
      <c r="E54" s="564" t="s">
        <v>872</v>
      </c>
      <c r="F54" s="79" t="s">
        <v>860</v>
      </c>
      <c r="G54" s="558"/>
      <c r="H54" s="559"/>
      <c r="I54" s="558"/>
      <c r="J54" s="559"/>
      <c r="K54" s="296"/>
      <c r="X54" s="17">
        <v>0</v>
      </c>
    </row>
    <row r="55" spans="1:24" ht="11.25" hidden="1" customHeight="1">
      <c r="A55" s="1218"/>
      <c r="D55" s="556" t="s">
        <v>884</v>
      </c>
      <c r="E55" s="564" t="s">
        <v>873</v>
      </c>
      <c r="F55" s="79" t="s">
        <v>860</v>
      </c>
      <c r="G55" s="558"/>
      <c r="H55" s="559"/>
      <c r="I55" s="558"/>
      <c r="J55" s="559"/>
      <c r="K55" s="296"/>
      <c r="X55" s="17">
        <v>0</v>
      </c>
    </row>
    <row r="56" spans="1:24" ht="11.25" hidden="1" customHeight="1">
      <c r="A56" s="1218"/>
      <c r="D56" s="556" t="s">
        <v>885</v>
      </c>
      <c r="E56" s="567" t="s">
        <v>875</v>
      </c>
      <c r="F56" s="79" t="s">
        <v>860</v>
      </c>
      <c r="G56" s="558"/>
      <c r="H56" s="559"/>
      <c r="I56" s="558"/>
      <c r="J56" s="559"/>
      <c r="K56" s="296"/>
      <c r="X56" s="17">
        <v>0</v>
      </c>
    </row>
    <row r="57" spans="1:24" ht="11.25" hidden="1" customHeight="1">
      <c r="A57" s="1218"/>
      <c r="D57" s="556" t="s">
        <v>886</v>
      </c>
      <c r="E57" s="567" t="s">
        <v>877</v>
      </c>
      <c r="F57" s="79" t="s">
        <v>860</v>
      </c>
      <c r="G57" s="558"/>
      <c r="H57" s="559"/>
      <c r="I57" s="558"/>
      <c r="J57" s="559"/>
      <c r="K57" s="296"/>
      <c r="X57" s="17">
        <v>0</v>
      </c>
    </row>
    <row r="58" spans="1:24" ht="11.25" hidden="1" customHeight="1">
      <c r="A58" s="1218"/>
      <c r="D58" s="556" t="s">
        <v>887</v>
      </c>
      <c r="E58" s="564" t="s">
        <v>879</v>
      </c>
      <c r="F58" s="79" t="s">
        <v>860</v>
      </c>
      <c r="G58" s="558"/>
      <c r="H58" s="559"/>
      <c r="I58" s="558"/>
      <c r="J58" s="559"/>
      <c r="K58" s="296"/>
      <c r="X58" s="17">
        <v>0</v>
      </c>
    </row>
    <row r="59" spans="1:24" ht="11.25" hidden="1" customHeight="1">
      <c r="A59" s="1218"/>
      <c r="D59" s="556" t="s">
        <v>888</v>
      </c>
      <c r="E59" s="564" t="s">
        <v>881</v>
      </c>
      <c r="F59" s="79" t="s">
        <v>860</v>
      </c>
      <c r="G59" s="558"/>
      <c r="H59" s="559"/>
      <c r="I59" s="558"/>
      <c r="J59" s="559"/>
      <c r="K59" s="296"/>
      <c r="X59" s="17">
        <v>0</v>
      </c>
    </row>
    <row r="60" spans="1:24" ht="33.75" hidden="1" customHeight="1">
      <c r="A60" s="1218"/>
      <c r="D60" s="556" t="s">
        <v>92</v>
      </c>
      <c r="E60" s="566" t="s">
        <v>889</v>
      </c>
      <c r="F60" s="568" t="s">
        <v>559</v>
      </c>
      <c r="G60" s="482"/>
      <c r="H60" s="559"/>
      <c r="I60" s="482"/>
      <c r="J60" s="559"/>
      <c r="K60" s="344" t="s">
        <v>890</v>
      </c>
      <c r="X60" s="17">
        <v>0</v>
      </c>
    </row>
    <row r="61" spans="1:24" ht="33.75" hidden="1" customHeight="1">
      <c r="A61" s="1218"/>
      <c r="D61" s="556" t="s">
        <v>93</v>
      </c>
      <c r="E61" s="566" t="s">
        <v>891</v>
      </c>
      <c r="F61" s="569" t="s">
        <v>821</v>
      </c>
      <c r="G61" s="558"/>
      <c r="H61" s="559"/>
      <c r="I61" s="558"/>
      <c r="J61" s="559"/>
      <c r="K61" s="296"/>
      <c r="X61" s="17">
        <v>0</v>
      </c>
    </row>
    <row r="62" spans="1:24" ht="22.5" hidden="1" customHeight="1">
      <c r="A62" s="1218"/>
      <c r="B62" s="75" t="s">
        <v>589</v>
      </c>
      <c r="D62" s="556" t="s">
        <v>113</v>
      </c>
      <c r="E62" s="566" t="s">
        <v>892</v>
      </c>
      <c r="F62" s="569" t="s">
        <v>307</v>
      </c>
      <c r="G62" s="287"/>
      <c r="H62" s="559"/>
      <c r="I62" s="287"/>
      <c r="J62" s="559"/>
      <c r="K62" s="296" t="s">
        <v>632</v>
      </c>
      <c r="X62" s="17">
        <v>0</v>
      </c>
    </row>
    <row r="63" spans="1:24" ht="45" hidden="1" customHeight="1">
      <c r="A63" s="1218"/>
      <c r="B63" s="75" t="s">
        <v>589</v>
      </c>
      <c r="D63" s="556" t="s">
        <v>893</v>
      </c>
      <c r="E63" s="564" t="s">
        <v>894</v>
      </c>
      <c r="F63" s="568" t="s">
        <v>307</v>
      </c>
      <c r="G63" s="287"/>
      <c r="H63" s="559"/>
      <c r="I63" s="287"/>
      <c r="J63" s="559"/>
      <c r="K63" s="296" t="s">
        <v>632</v>
      </c>
      <c r="X63" s="17">
        <v>0</v>
      </c>
    </row>
    <row r="64" spans="1:24" ht="11.45" customHeight="1">
      <c r="X64" s="17">
        <v>11</v>
      </c>
    </row>
    <row r="65" spans="1:24" ht="22.5" hidden="1" customHeight="1">
      <c r="A65" s="1218" t="s">
        <v>895</v>
      </c>
      <c r="D65" s="556">
        <v>1</v>
      </c>
      <c r="E65" s="570" t="s">
        <v>896</v>
      </c>
      <c r="F65" s="571" t="s">
        <v>811</v>
      </c>
      <c r="G65" s="561"/>
      <c r="H65" s="572"/>
      <c r="I65" s="561"/>
      <c r="J65" s="572"/>
      <c r="K65" s="341" t="s">
        <v>897</v>
      </c>
      <c r="X65" s="17">
        <v>0</v>
      </c>
    </row>
    <row r="66" spans="1:24" ht="56.25" hidden="1" customHeight="1">
      <c r="A66" s="1218"/>
      <c r="D66" s="573" t="s">
        <v>111</v>
      </c>
      <c r="E66" s="165" t="s">
        <v>898</v>
      </c>
      <c r="F66" s="79" t="s">
        <v>547</v>
      </c>
      <c r="G66" s="79" t="s">
        <v>547</v>
      </c>
      <c r="H66" s="551"/>
      <c r="I66" s="79" t="s">
        <v>547</v>
      </c>
      <c r="J66" s="551"/>
      <c r="K66" s="296"/>
      <c r="X66" s="17">
        <v>0</v>
      </c>
    </row>
    <row r="67" spans="1:24" ht="33.75" hidden="1" customHeight="1">
      <c r="A67" s="1218"/>
      <c r="D67" s="573" t="s">
        <v>710</v>
      </c>
      <c r="E67" s="421" t="s">
        <v>899</v>
      </c>
      <c r="F67" s="79" t="s">
        <v>863</v>
      </c>
      <c r="G67" s="522"/>
      <c r="H67" s="551"/>
      <c r="I67" s="522"/>
      <c r="J67" s="551"/>
      <c r="K67" s="296"/>
      <c r="X67" s="17">
        <v>0</v>
      </c>
    </row>
    <row r="68" spans="1:24" ht="22.5" hidden="1" customHeight="1">
      <c r="A68" s="1218"/>
      <c r="D68" s="573" t="s">
        <v>308</v>
      </c>
      <c r="E68" s="421" t="s">
        <v>900</v>
      </c>
      <c r="F68" s="79" t="s">
        <v>863</v>
      </c>
      <c r="G68" s="522"/>
      <c r="H68" s="551"/>
      <c r="I68" s="522"/>
      <c r="J68" s="551"/>
      <c r="K68" s="296"/>
      <c r="X68" s="17">
        <v>0</v>
      </c>
    </row>
    <row r="69" spans="1:24" ht="22.5" hidden="1" customHeight="1">
      <c r="A69" s="1218"/>
      <c r="D69" s="573" t="s">
        <v>311</v>
      </c>
      <c r="E69" s="421" t="s">
        <v>901</v>
      </c>
      <c r="F69" s="568" t="s">
        <v>559</v>
      </c>
      <c r="G69" s="482"/>
      <c r="H69" s="551"/>
      <c r="I69" s="482"/>
      <c r="J69" s="551"/>
      <c r="K69" s="296"/>
      <c r="X69" s="17">
        <v>0</v>
      </c>
    </row>
    <row r="70" spans="1:24" ht="22.5" hidden="1" customHeight="1">
      <c r="A70" s="1218"/>
      <c r="D70" s="573" t="s">
        <v>730</v>
      </c>
      <c r="E70" s="421" t="s">
        <v>902</v>
      </c>
      <c r="F70" s="568" t="s">
        <v>559</v>
      </c>
      <c r="G70" s="482"/>
      <c r="H70" s="551"/>
      <c r="I70" s="482"/>
      <c r="J70" s="551"/>
      <c r="K70" s="296"/>
      <c r="X70" s="17">
        <v>0</v>
      </c>
    </row>
    <row r="71" spans="1:24" ht="22.5" hidden="1" customHeight="1">
      <c r="A71" s="1218"/>
      <c r="D71" s="556" t="s">
        <v>90</v>
      </c>
      <c r="E71" s="566" t="s">
        <v>903</v>
      </c>
      <c r="F71" s="79" t="s">
        <v>863</v>
      </c>
      <c r="G71" s="453"/>
      <c r="H71" s="555"/>
      <c r="I71" s="453"/>
      <c r="J71" s="555"/>
      <c r="K71" s="344"/>
      <c r="X71" s="17">
        <v>0</v>
      </c>
    </row>
    <row r="72" spans="1:24" ht="56.25" hidden="1" customHeight="1">
      <c r="A72" s="1218"/>
      <c r="D72" s="556" t="s">
        <v>91</v>
      </c>
      <c r="E72" s="566" t="s">
        <v>904</v>
      </c>
      <c r="F72" s="568" t="s">
        <v>559</v>
      </c>
      <c r="G72" s="482"/>
      <c r="H72" s="559"/>
      <c r="I72" s="482"/>
      <c r="J72" s="559"/>
      <c r="K72" s="344"/>
      <c r="X72" s="17">
        <v>0</v>
      </c>
    </row>
    <row r="73" spans="1:24" ht="33.75" hidden="1" customHeight="1">
      <c r="A73" s="1218"/>
      <c r="D73" s="556" t="s">
        <v>112</v>
      </c>
      <c r="E73" s="566" t="s">
        <v>905</v>
      </c>
      <c r="F73" s="569" t="s">
        <v>821</v>
      </c>
      <c r="G73" s="558"/>
      <c r="H73" s="559"/>
      <c r="I73" s="558"/>
      <c r="J73" s="559"/>
      <c r="K73" s="296"/>
      <c r="X73" s="17">
        <v>0</v>
      </c>
    </row>
    <row r="74" spans="1:24" ht="22.5" hidden="1" customHeight="1">
      <c r="A74" s="1218"/>
      <c r="B74" s="75" t="s">
        <v>589</v>
      </c>
      <c r="D74" s="556" t="s">
        <v>92</v>
      </c>
      <c r="E74" s="566" t="s">
        <v>906</v>
      </c>
      <c r="F74" s="569" t="s">
        <v>307</v>
      </c>
      <c r="G74" s="287"/>
      <c r="H74" s="559"/>
      <c r="I74" s="287"/>
      <c r="J74" s="559"/>
      <c r="K74" s="296" t="s">
        <v>632</v>
      </c>
      <c r="X74" s="17">
        <v>0</v>
      </c>
    </row>
    <row r="75" spans="1:24" ht="45" hidden="1" customHeight="1">
      <c r="A75" s="1218"/>
      <c r="B75" s="75" t="s">
        <v>589</v>
      </c>
      <c r="D75" s="556" t="s">
        <v>653</v>
      </c>
      <c r="E75" s="564" t="s">
        <v>907</v>
      </c>
      <c r="F75" s="568" t="s">
        <v>307</v>
      </c>
      <c r="G75" s="287"/>
      <c r="H75" s="559"/>
      <c r="I75" s="287"/>
      <c r="J75" s="559"/>
      <c r="K75" s="296" t="s">
        <v>632</v>
      </c>
      <c r="X75" s="17">
        <v>0</v>
      </c>
    </row>
    <row r="76" spans="1:24" ht="11.45" customHeight="1">
      <c r="X76" s="17">
        <v>11</v>
      </c>
    </row>
    <row r="77" spans="1:24" ht="11.25" hidden="1" customHeight="1">
      <c r="A77" s="1218" t="s">
        <v>908</v>
      </c>
      <c r="D77" s="556">
        <v>1</v>
      </c>
      <c r="E77" s="566" t="s">
        <v>909</v>
      </c>
      <c r="F77" s="568" t="s">
        <v>811</v>
      </c>
      <c r="G77" s="574"/>
      <c r="H77" s="559"/>
      <c r="I77" s="574"/>
      <c r="J77" s="559"/>
      <c r="K77" s="296" t="s">
        <v>910</v>
      </c>
      <c r="X77" s="17">
        <v>0</v>
      </c>
    </row>
    <row r="78" spans="1:24" ht="11.25" hidden="1" customHeight="1">
      <c r="A78" s="1218"/>
      <c r="D78" s="556" t="s">
        <v>111</v>
      </c>
      <c r="E78" s="566" t="s">
        <v>911</v>
      </c>
      <c r="F78" s="568" t="s">
        <v>811</v>
      </c>
      <c r="G78" s="574"/>
      <c r="H78" s="559"/>
      <c r="I78" s="574"/>
      <c r="J78" s="559"/>
      <c r="K78" s="296" t="s">
        <v>912</v>
      </c>
      <c r="X78" s="17">
        <v>0</v>
      </c>
    </row>
    <row r="79" spans="1:24" ht="22.5" hidden="1" customHeight="1">
      <c r="A79" s="1218"/>
      <c r="D79" s="556" t="s">
        <v>90</v>
      </c>
      <c r="E79" s="562" t="s">
        <v>913</v>
      </c>
      <c r="F79" s="79" t="s">
        <v>860</v>
      </c>
      <c r="G79" s="574"/>
      <c r="H79" s="559"/>
      <c r="I79" s="574"/>
      <c r="J79" s="559"/>
      <c r="K79" s="296" t="s">
        <v>914</v>
      </c>
      <c r="X79" s="17">
        <v>0</v>
      </c>
    </row>
    <row r="80" spans="1:24" ht="11.25" hidden="1" customHeight="1">
      <c r="A80" s="1218"/>
      <c r="D80" s="556" t="s">
        <v>325</v>
      </c>
      <c r="E80" s="557" t="s">
        <v>915</v>
      </c>
      <c r="F80" s="79" t="s">
        <v>860</v>
      </c>
      <c r="G80" s="574"/>
      <c r="H80" s="559"/>
      <c r="I80" s="574"/>
      <c r="J80" s="559"/>
      <c r="K80" s="296"/>
      <c r="X80" s="17">
        <v>0</v>
      </c>
    </row>
    <row r="81" spans="1:24" ht="11.25" hidden="1" customHeight="1">
      <c r="A81" s="1218"/>
      <c r="D81" s="556" t="s">
        <v>333</v>
      </c>
      <c r="E81" s="557" t="s">
        <v>916</v>
      </c>
      <c r="F81" s="79" t="s">
        <v>860</v>
      </c>
      <c r="G81" s="574"/>
      <c r="H81" s="559"/>
      <c r="I81" s="574"/>
      <c r="J81" s="559"/>
      <c r="K81" s="296"/>
      <c r="X81" s="17">
        <v>0</v>
      </c>
    </row>
    <row r="82" spans="1:24" ht="11.25" hidden="1" customHeight="1">
      <c r="A82" s="1218"/>
      <c r="D82" s="556" t="s">
        <v>335</v>
      </c>
      <c r="E82" s="557" t="s">
        <v>917</v>
      </c>
      <c r="F82" s="79" t="s">
        <v>860</v>
      </c>
      <c r="G82" s="574"/>
      <c r="H82" s="559"/>
      <c r="I82" s="574"/>
      <c r="J82" s="559"/>
      <c r="K82" s="296"/>
      <c r="X82" s="17">
        <v>0</v>
      </c>
    </row>
    <row r="83" spans="1:24" ht="11.25" hidden="1" customHeight="1">
      <c r="A83" s="1218"/>
      <c r="D83" s="556" t="s">
        <v>337</v>
      </c>
      <c r="E83" s="557" t="s">
        <v>918</v>
      </c>
      <c r="F83" s="79" t="s">
        <v>860</v>
      </c>
      <c r="G83" s="574"/>
      <c r="H83" s="559"/>
      <c r="I83" s="574"/>
      <c r="J83" s="559"/>
      <c r="K83" s="296"/>
      <c r="X83" s="17">
        <v>0</v>
      </c>
    </row>
    <row r="84" spans="1:24" ht="11.25" hidden="1" customHeight="1">
      <c r="A84" s="1218"/>
      <c r="D84" s="556" t="s">
        <v>919</v>
      </c>
      <c r="E84" s="557" t="s">
        <v>920</v>
      </c>
      <c r="F84" s="79" t="s">
        <v>860</v>
      </c>
      <c r="G84" s="574"/>
      <c r="H84" s="559"/>
      <c r="I84" s="574"/>
      <c r="J84" s="559"/>
      <c r="K84" s="296"/>
      <c r="X84" s="17">
        <v>0</v>
      </c>
    </row>
    <row r="85" spans="1:24" ht="11.25" hidden="1" customHeight="1">
      <c r="A85" s="1218"/>
      <c r="D85" s="556" t="s">
        <v>921</v>
      </c>
      <c r="E85" s="557" t="s">
        <v>922</v>
      </c>
      <c r="F85" s="79" t="s">
        <v>860</v>
      </c>
      <c r="G85" s="574"/>
      <c r="H85" s="559"/>
      <c r="I85" s="574"/>
      <c r="J85" s="559"/>
      <c r="K85" s="296"/>
      <c r="X85" s="17">
        <v>0</v>
      </c>
    </row>
    <row r="86" spans="1:24" ht="11.25" hidden="1" customHeight="1">
      <c r="A86" s="1218"/>
      <c r="D86" s="556" t="s">
        <v>923</v>
      </c>
      <c r="E86" s="557" t="s">
        <v>924</v>
      </c>
      <c r="F86" s="79" t="s">
        <v>860</v>
      </c>
      <c r="G86" s="574"/>
      <c r="H86" s="559"/>
      <c r="I86" s="574"/>
      <c r="J86" s="559"/>
      <c r="K86" s="296"/>
      <c r="X86" s="17">
        <v>0</v>
      </c>
    </row>
    <row r="87" spans="1:24" ht="45" hidden="1" customHeight="1">
      <c r="A87" s="1218"/>
      <c r="D87" s="556" t="s">
        <v>91</v>
      </c>
      <c r="E87" s="566" t="s">
        <v>925</v>
      </c>
      <c r="F87" s="79" t="s">
        <v>860</v>
      </c>
      <c r="G87" s="574"/>
      <c r="H87" s="559"/>
      <c r="I87" s="574"/>
      <c r="J87" s="559"/>
      <c r="K87" s="296" t="s">
        <v>926</v>
      </c>
      <c r="X87" s="17">
        <v>0</v>
      </c>
    </row>
    <row r="88" spans="1:24" ht="11.25" hidden="1" customHeight="1">
      <c r="A88" s="1218"/>
      <c r="D88" s="556" t="s">
        <v>755</v>
      </c>
      <c r="E88" s="557" t="s">
        <v>915</v>
      </c>
      <c r="F88" s="79" t="s">
        <v>860</v>
      </c>
      <c r="G88" s="574"/>
      <c r="H88" s="559"/>
      <c r="I88" s="574"/>
      <c r="J88" s="559"/>
      <c r="K88" s="296"/>
      <c r="X88" s="17">
        <v>0</v>
      </c>
    </row>
    <row r="89" spans="1:24" ht="11.25" hidden="1" customHeight="1">
      <c r="A89" s="1218"/>
      <c r="D89" s="556" t="s">
        <v>797</v>
      </c>
      <c r="E89" s="557" t="s">
        <v>916</v>
      </c>
      <c r="F89" s="79" t="s">
        <v>860</v>
      </c>
      <c r="G89" s="574"/>
      <c r="H89" s="559"/>
      <c r="I89" s="574"/>
      <c r="J89" s="559"/>
      <c r="K89" s="296"/>
      <c r="X89" s="17">
        <v>0</v>
      </c>
    </row>
    <row r="90" spans="1:24" ht="11.25" hidden="1" customHeight="1">
      <c r="A90" s="1218"/>
      <c r="D90" s="556" t="s">
        <v>800</v>
      </c>
      <c r="E90" s="557" t="s">
        <v>917</v>
      </c>
      <c r="F90" s="79" t="s">
        <v>860</v>
      </c>
      <c r="G90" s="574"/>
      <c r="H90" s="559"/>
      <c r="I90" s="574"/>
      <c r="J90" s="559"/>
      <c r="K90" s="296"/>
      <c r="X90" s="17">
        <v>0</v>
      </c>
    </row>
    <row r="91" spans="1:24" ht="11.25" hidden="1" customHeight="1">
      <c r="A91" s="1218"/>
      <c r="D91" s="556" t="s">
        <v>878</v>
      </c>
      <c r="E91" s="557" t="s">
        <v>918</v>
      </c>
      <c r="F91" s="79" t="s">
        <v>860</v>
      </c>
      <c r="G91" s="574"/>
      <c r="H91" s="559"/>
      <c r="I91" s="574"/>
      <c r="J91" s="559"/>
      <c r="K91" s="296"/>
      <c r="X91" s="17">
        <v>0</v>
      </c>
    </row>
    <row r="92" spans="1:24" ht="11.25" hidden="1" customHeight="1">
      <c r="A92" s="1218"/>
      <c r="D92" s="556" t="s">
        <v>880</v>
      </c>
      <c r="E92" s="557" t="s">
        <v>920</v>
      </c>
      <c r="F92" s="79" t="s">
        <v>860</v>
      </c>
      <c r="G92" s="574"/>
      <c r="H92" s="559"/>
      <c r="I92" s="574"/>
      <c r="J92" s="559"/>
      <c r="K92" s="296"/>
      <c r="X92" s="17">
        <v>0</v>
      </c>
    </row>
    <row r="93" spans="1:24" ht="11.25" hidden="1" customHeight="1">
      <c r="A93" s="1218"/>
      <c r="D93" s="556" t="s">
        <v>927</v>
      </c>
      <c r="E93" s="557" t="s">
        <v>922</v>
      </c>
      <c r="F93" s="79" t="s">
        <v>860</v>
      </c>
      <c r="G93" s="574"/>
      <c r="H93" s="559"/>
      <c r="I93" s="574"/>
      <c r="J93" s="559"/>
      <c r="K93" s="296"/>
      <c r="X93" s="17">
        <v>0</v>
      </c>
    </row>
    <row r="94" spans="1:24" ht="11.25" hidden="1" customHeight="1">
      <c r="A94" s="1218"/>
      <c r="D94" s="556" t="s">
        <v>928</v>
      </c>
      <c r="E94" s="557" t="s">
        <v>924</v>
      </c>
      <c r="F94" s="79" t="s">
        <v>860</v>
      </c>
      <c r="G94" s="574"/>
      <c r="H94" s="559"/>
      <c r="I94" s="574"/>
      <c r="J94" s="559"/>
      <c r="K94" s="296"/>
      <c r="X94" s="17">
        <v>0</v>
      </c>
    </row>
    <row r="95" spans="1:24" ht="24.75" hidden="1" customHeight="1">
      <c r="A95" s="1218"/>
      <c r="D95" s="556" t="s">
        <v>112</v>
      </c>
      <c r="E95" s="566" t="s">
        <v>929</v>
      </c>
      <c r="F95" s="575" t="s">
        <v>559</v>
      </c>
      <c r="G95" s="522"/>
      <c r="H95" s="559"/>
      <c r="I95" s="522"/>
      <c r="J95" s="559"/>
      <c r="K95" s="296" t="s">
        <v>930</v>
      </c>
      <c r="X95" s="17">
        <v>0</v>
      </c>
    </row>
    <row r="96" spans="1:24" ht="33.75" hidden="1" customHeight="1">
      <c r="A96" s="1218"/>
      <c r="D96" s="556" t="s">
        <v>92</v>
      </c>
      <c r="E96" s="566" t="s">
        <v>931</v>
      </c>
      <c r="F96" s="569" t="s">
        <v>821</v>
      </c>
      <c r="G96" s="576"/>
      <c r="H96" s="559"/>
      <c r="I96" s="576"/>
      <c r="J96" s="559"/>
      <c r="K96" s="296"/>
      <c r="X96" s="17">
        <v>0</v>
      </c>
    </row>
    <row r="97" spans="1:24" ht="22.5" hidden="1" customHeight="1">
      <c r="A97" s="1218"/>
      <c r="B97" s="75" t="s">
        <v>589</v>
      </c>
      <c r="D97" s="556" t="s">
        <v>93</v>
      </c>
      <c r="E97" s="566" t="s">
        <v>932</v>
      </c>
      <c r="F97" s="569" t="s">
        <v>307</v>
      </c>
      <c r="G97" s="525"/>
      <c r="H97" s="559"/>
      <c r="I97" s="525"/>
      <c r="J97" s="559"/>
      <c r="K97" s="296" t="s">
        <v>632</v>
      </c>
      <c r="X97" s="17">
        <v>0</v>
      </c>
    </row>
    <row r="98" spans="1:24" ht="45" hidden="1" customHeight="1">
      <c r="A98" s="1218"/>
      <c r="B98" s="75" t="s">
        <v>589</v>
      </c>
      <c r="D98" s="556" t="s">
        <v>933</v>
      </c>
      <c r="E98" s="564" t="s">
        <v>934</v>
      </c>
      <c r="F98" s="568" t="s">
        <v>307</v>
      </c>
      <c r="G98" s="525"/>
      <c r="H98" s="559"/>
      <c r="I98" s="525"/>
      <c r="J98" s="559"/>
      <c r="K98" s="296" t="s">
        <v>632</v>
      </c>
      <c r="X98" s="17">
        <v>0</v>
      </c>
    </row>
    <row r="99" spans="1:24" ht="95.25" hidden="1" customHeight="1">
      <c r="A99" s="1218"/>
      <c r="B99" s="75" t="s">
        <v>589</v>
      </c>
      <c r="D99" s="556" t="s">
        <v>113</v>
      </c>
      <c r="E99" s="566" t="s">
        <v>935</v>
      </c>
      <c r="F99" s="568" t="s">
        <v>307</v>
      </c>
      <c r="G99" s="525"/>
      <c r="H99" s="559"/>
      <c r="I99" s="525"/>
      <c r="J99" s="559"/>
      <c r="K99" s="296" t="s">
        <v>632</v>
      </c>
      <c r="X99" s="17">
        <v>0</v>
      </c>
    </row>
    <row r="100" spans="1:24" ht="22.5" hidden="1" customHeight="1">
      <c r="A100" s="1218"/>
      <c r="B100" s="75" t="s">
        <v>589</v>
      </c>
      <c r="D100" s="556" t="s">
        <v>151</v>
      </c>
      <c r="E100" s="566" t="s">
        <v>936</v>
      </c>
      <c r="F100" s="568" t="s">
        <v>307</v>
      </c>
      <c r="G100" s="525"/>
      <c r="H100" s="559"/>
      <c r="I100" s="525"/>
      <c r="J100" s="559"/>
      <c r="K100" s="296" t="s">
        <v>632</v>
      </c>
      <c r="X100" s="17">
        <v>0</v>
      </c>
    </row>
    <row r="101" spans="1:24" ht="11.45" customHeight="1">
      <c r="X101" s="17">
        <v>11</v>
      </c>
    </row>
    <row r="102" spans="1:24" ht="22.5" hidden="1" customHeight="1">
      <c r="A102" s="66" t="s">
        <v>82</v>
      </c>
      <c r="B102" s="75">
        <v>0</v>
      </c>
      <c r="C102" s="17">
        <v>3</v>
      </c>
      <c r="D102" s="17">
        <v>7</v>
      </c>
      <c r="E102" s="17">
        <v>69</v>
      </c>
      <c r="F102" s="17">
        <v>10</v>
      </c>
      <c r="G102" s="17">
        <v>0</v>
      </c>
      <c r="H102" s="17">
        <v>0</v>
      </c>
      <c r="I102" s="17">
        <v>43</v>
      </c>
      <c r="J102" s="17">
        <v>43</v>
      </c>
      <c r="K102" s="17">
        <v>73</v>
      </c>
      <c r="L102" s="17">
        <v>3</v>
      </c>
      <c r="M102" s="17">
        <v>10</v>
      </c>
      <c r="N102" s="17">
        <v>10</v>
      </c>
      <c r="O102" s="17">
        <v>10</v>
      </c>
      <c r="P102" s="17">
        <v>10</v>
      </c>
      <c r="Q102" s="17">
        <v>10</v>
      </c>
      <c r="R102" s="17">
        <v>10</v>
      </c>
      <c r="S102" s="17">
        <v>10</v>
      </c>
      <c r="T102" s="17">
        <v>10</v>
      </c>
      <c r="U102" s="17">
        <v>10</v>
      </c>
      <c r="V102" s="17">
        <v>10</v>
      </c>
      <c r="W102" s="17">
        <v>10</v>
      </c>
      <c r="X102" s="17">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9F39-3FA8-ACB4-851B-8DC2671BE14A}">
  <sheetPr>
    <tabColor rgb="FFE26B0A"/>
    <pageSetUpPr fitToPage="1"/>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D22" sqref="D22:K38"/>
    </sheetView>
  </sheetViews>
  <sheetFormatPr defaultColWidth="10.5703125" defaultRowHeight="15" customHeight="1"/>
  <cols>
    <col min="1" max="2" width="9.140625" hidden="1" customWidth="1"/>
    <col min="3" max="3" width="4" customWidth="1"/>
    <col min="4" max="4" width="6" customWidth="1"/>
    <col min="5" max="5" width="36" customWidth="1"/>
    <col min="6" max="6" width="9" customWidth="1"/>
    <col min="7" max="7" width="25.7109375" hidden="1" customWidth="1"/>
    <col min="8" max="8" width="33.7109375" hidden="1" customWidth="1"/>
    <col min="9" max="9" width="25.7109375" customWidth="1"/>
    <col min="10" max="10" width="33" customWidth="1"/>
    <col min="11" max="11" width="93" customWidth="1"/>
    <col min="12" max="21" width="10" customWidth="1"/>
    <col min="22" max="22" width="10.5703125" hidden="1"/>
  </cols>
  <sheetData>
    <row r="1" spans="2:22" ht="22.5" hidden="1" customHeight="1">
      <c r="G1" s="37">
        <v>4</v>
      </c>
      <c r="I1" s="37">
        <v>4</v>
      </c>
      <c r="V1" s="37" t="s">
        <v>14</v>
      </c>
    </row>
    <row r="2" spans="2:22" ht="15" hidden="1" customHeight="1">
      <c r="V2" s="37">
        <v>0</v>
      </c>
    </row>
    <row r="3" spans="2:22" ht="22.5" hidden="1" customHeight="1">
      <c r="B3" s="964"/>
      <c r="C3" s="1219" t="s">
        <v>690</v>
      </c>
      <c r="D3" s="578" t="str">
        <f>B3&amp;".1"</f>
        <v>.1</v>
      </c>
      <c r="E3" s="219" t="s">
        <v>937</v>
      </c>
      <c r="F3" s="21" t="s">
        <v>307</v>
      </c>
      <c r="G3" s="425"/>
      <c r="H3" s="477"/>
      <c r="I3" s="425"/>
      <c r="J3" s="477"/>
      <c r="K3" s="296" t="s">
        <v>938</v>
      </c>
      <c r="V3" s="17">
        <v>0</v>
      </c>
    </row>
    <row r="4" spans="2:22" ht="15" hidden="1" customHeight="1">
      <c r="B4" s="964"/>
      <c r="C4" s="1219"/>
      <c r="D4" s="578" t="str">
        <f>B3&amp;".2"</f>
        <v>.2</v>
      </c>
      <c r="E4" s="219" t="s">
        <v>939</v>
      </c>
      <c r="F4" s="21" t="s">
        <v>307</v>
      </c>
      <c r="G4" s="579" t="s">
        <v>22</v>
      </c>
      <c r="H4" s="477"/>
      <c r="I4" s="579" t="s">
        <v>22</v>
      </c>
      <c r="J4" s="477"/>
      <c r="K4" s="296" t="s">
        <v>940</v>
      </c>
      <c r="V4" s="17">
        <v>0</v>
      </c>
    </row>
    <row r="5" spans="2:22" ht="15" hidden="1" customHeight="1">
      <c r="V5" s="37">
        <v>0</v>
      </c>
    </row>
    <row r="6" spans="2:22" ht="22.5" hidden="1" customHeight="1">
      <c r="B6" s="964"/>
      <c r="C6" s="1219" t="s">
        <v>690</v>
      </c>
      <c r="D6" s="578" t="str">
        <f>B6&amp;".1"</f>
        <v>.1</v>
      </c>
      <c r="E6" s="219" t="s">
        <v>941</v>
      </c>
      <c r="F6" s="21" t="s">
        <v>307</v>
      </c>
      <c r="G6" s="425"/>
      <c r="H6" s="477"/>
      <c r="I6" s="425"/>
      <c r="J6" s="477"/>
      <c r="K6" s="296" t="s">
        <v>942</v>
      </c>
      <c r="V6" s="17">
        <v>0</v>
      </c>
    </row>
    <row r="7" spans="2:22" ht="15" hidden="1" customHeight="1">
      <c r="B7" s="964"/>
      <c r="C7" s="1219"/>
      <c r="D7" s="578" t="str">
        <f>B6&amp;".2"</f>
        <v>.2</v>
      </c>
      <c r="E7" s="219" t="s">
        <v>939</v>
      </c>
      <c r="F7" s="21" t="s">
        <v>307</v>
      </c>
      <c r="G7" s="579" t="s">
        <v>22</v>
      </c>
      <c r="H7" s="477"/>
      <c r="I7" s="579" t="s">
        <v>22</v>
      </c>
      <c r="J7" s="477"/>
      <c r="K7" s="296" t="s">
        <v>940</v>
      </c>
      <c r="V7" s="17">
        <v>0</v>
      </c>
    </row>
    <row r="8" spans="2:22" ht="15" hidden="1" customHeight="1">
      <c r="V8" s="37">
        <v>0</v>
      </c>
    </row>
    <row r="9" spans="2:22" ht="22.5" hidden="1" customHeight="1">
      <c r="B9" s="964"/>
      <c r="C9" s="1219" t="s">
        <v>690</v>
      </c>
      <c r="D9" s="578" t="str">
        <f>B9&amp;".1"</f>
        <v>.1</v>
      </c>
      <c r="E9" s="219" t="s">
        <v>943</v>
      </c>
      <c r="F9" s="21" t="s">
        <v>307</v>
      </c>
      <c r="G9" s="222" t="s">
        <v>22</v>
      </c>
      <c r="H9" s="477" t="s">
        <v>22</v>
      </c>
      <c r="I9" s="580" t="s">
        <v>22</v>
      </c>
      <c r="J9" s="581" t="s">
        <v>22</v>
      </c>
      <c r="K9" s="296"/>
      <c r="V9" s="17">
        <v>0</v>
      </c>
    </row>
    <row r="10" spans="2:22" ht="15" hidden="1" customHeight="1">
      <c r="B10" s="964"/>
      <c r="C10" s="1219"/>
      <c r="D10" s="578" t="str">
        <f>B9&amp;".2"</f>
        <v>.2</v>
      </c>
      <c r="E10" s="219" t="s">
        <v>944</v>
      </c>
      <c r="F10" s="21" t="s">
        <v>307</v>
      </c>
      <c r="G10" s="35" t="s">
        <v>22</v>
      </c>
      <c r="H10" s="477" t="s">
        <v>22</v>
      </c>
      <c r="I10" s="582" t="s">
        <v>22</v>
      </c>
      <c r="J10" s="581" t="s">
        <v>22</v>
      </c>
      <c r="K10" s="296" t="s">
        <v>945</v>
      </c>
      <c r="V10" s="17">
        <v>0</v>
      </c>
    </row>
    <row r="11" spans="2:22" ht="15" hidden="1" customHeight="1">
      <c r="B11" s="964"/>
      <c r="C11" s="1219"/>
      <c r="D11" s="578" t="str">
        <f>B9&amp;".3"</f>
        <v>.3</v>
      </c>
      <c r="E11" s="219" t="s">
        <v>946</v>
      </c>
      <c r="F11" s="21" t="s">
        <v>307</v>
      </c>
      <c r="G11" s="35" t="s">
        <v>22</v>
      </c>
      <c r="H11" s="477" t="s">
        <v>22</v>
      </c>
      <c r="I11" s="582" t="s">
        <v>22</v>
      </c>
      <c r="J11" s="581" t="s">
        <v>22</v>
      </c>
      <c r="K11" s="296" t="s">
        <v>947</v>
      </c>
      <c r="V11" s="17">
        <v>0</v>
      </c>
    </row>
    <row r="12" spans="2:22" ht="15" hidden="1" customHeight="1">
      <c r="V12" s="37">
        <v>0</v>
      </c>
    </row>
    <row r="13" spans="2:22" ht="33.75" hidden="1" customHeight="1">
      <c r="B13" s="964"/>
      <c r="C13" s="1219" t="s">
        <v>690</v>
      </c>
      <c r="D13" s="578" t="str">
        <f>B13&amp;".1"</f>
        <v>.1</v>
      </c>
      <c r="E13" s="219" t="s">
        <v>948</v>
      </c>
      <c r="F13" s="21" t="s">
        <v>307</v>
      </c>
      <c r="G13" s="222" t="s">
        <v>22</v>
      </c>
      <c r="H13" s="477" t="s">
        <v>22</v>
      </c>
      <c r="I13" s="580" t="s">
        <v>22</v>
      </c>
      <c r="J13" s="581" t="s">
        <v>22</v>
      </c>
      <c r="K13" s="296" t="s">
        <v>949</v>
      </c>
      <c r="V13" s="17">
        <v>0</v>
      </c>
    </row>
    <row r="14" spans="2:22" ht="15" hidden="1" customHeight="1">
      <c r="B14" s="964"/>
      <c r="C14" s="1219"/>
      <c r="D14" s="578" t="str">
        <f>B13&amp;".2"</f>
        <v>.2</v>
      </c>
      <c r="E14" s="219" t="s">
        <v>950</v>
      </c>
      <c r="F14" s="21" t="s">
        <v>307</v>
      </c>
      <c r="G14" s="35" t="s">
        <v>22</v>
      </c>
      <c r="H14" s="477" t="s">
        <v>22</v>
      </c>
      <c r="I14" s="582" t="s">
        <v>22</v>
      </c>
      <c r="J14" s="581" t="s">
        <v>22</v>
      </c>
      <c r="K14" s="296" t="s">
        <v>951</v>
      </c>
      <c r="V14" s="17">
        <v>0</v>
      </c>
    </row>
    <row r="15" spans="2:22" ht="15" hidden="1" customHeight="1">
      <c r="V15" s="37">
        <v>0</v>
      </c>
    </row>
    <row r="16" spans="2:22" ht="15" hidden="1" customHeight="1">
      <c r="V16" s="37">
        <v>0</v>
      </c>
    </row>
    <row r="17" spans="2:22" ht="15" hidden="1" customHeight="1">
      <c r="V17" s="37">
        <v>0</v>
      </c>
    </row>
    <row r="18" spans="2:22" ht="15" hidden="1" customHeight="1">
      <c r="V18" s="37">
        <v>0</v>
      </c>
    </row>
    <row r="19" spans="2:22" ht="15" hidden="1" customHeight="1">
      <c r="V19" s="37">
        <v>0</v>
      </c>
    </row>
    <row r="20" spans="2:22" ht="15" hidden="1" customHeight="1">
      <c r="V20" s="37">
        <v>0</v>
      </c>
    </row>
    <row r="21" spans="2:22" ht="15.75" customHeight="1">
      <c r="V21" s="17">
        <v>15</v>
      </c>
    </row>
    <row r="22" spans="2:22" ht="23.25" customHeight="1">
      <c r="D22" s="10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093"/>
      <c r="F22" s="1093"/>
      <c r="G22" s="1093"/>
      <c r="H22" s="1093"/>
      <c r="I22" s="1093"/>
      <c r="V22" s="17">
        <v>22</v>
      </c>
    </row>
    <row r="23" spans="2:22" ht="15.75" customHeight="1">
      <c r="D23" s="1066" t="str">
        <f>IF(org=0,"Не определено",org)</f>
        <v>ООО "ТВС"</v>
      </c>
      <c r="E23" s="1066"/>
      <c r="F23" s="1066"/>
      <c r="G23" s="1066"/>
      <c r="H23" s="1066"/>
      <c r="I23" s="1066"/>
      <c r="V23" s="17">
        <v>15</v>
      </c>
    </row>
    <row r="24" spans="2:22" ht="15.75" customHeight="1">
      <c r="G24" s="37">
        <v>22</v>
      </c>
      <c r="H24" s="184"/>
      <c r="I24" s="37">
        <v>22</v>
      </c>
      <c r="J24" s="184"/>
      <c r="V24" s="17">
        <v>15</v>
      </c>
    </row>
    <row r="25" spans="2:22" ht="1.1499999999999999" customHeight="1">
      <c r="H25" s="184"/>
      <c r="I25" s="37" t="s">
        <v>119</v>
      </c>
      <c r="J25" s="184"/>
      <c r="V25" s="17">
        <v>1</v>
      </c>
    </row>
    <row r="26" spans="2:22" ht="15.75" customHeight="1">
      <c r="D26" s="449"/>
      <c r="E26" s="1197" t="s">
        <v>106</v>
      </c>
      <c r="F26" s="1198"/>
      <c r="G26" s="1220" t="str">
        <f>IF(G25="","",INDEX(DIFFERENTIATION_UNMERGE_VD,MATCH(G25,DIFFERENTIATION_ID_DIFF,0)))</f>
        <v/>
      </c>
      <c r="H26" s="1221"/>
      <c r="I26" s="1220" t="str">
        <f>IF(I25="","",INDEX(DIFFERENTIATION_UNMERGE_VD,MATCH(I25,DIFFERENTIATION_ID_DIFF,0)))</f>
        <v>Подключение (технологическое присоединение) к системе теплоснабжения</v>
      </c>
      <c r="J26" s="1221"/>
      <c r="K26" s="1046" t="s">
        <v>302</v>
      </c>
      <c r="V26" s="17">
        <v>15</v>
      </c>
    </row>
    <row r="27" spans="2:22" ht="15.75" customHeight="1">
      <c r="D27" s="449"/>
      <c r="E27" s="1197" t="s">
        <v>565</v>
      </c>
      <c r="F27" s="1198"/>
      <c r="G27" s="1220" t="str">
        <f>IF(G25="","",INDEX(DIFFERENTIATION_UNMERGE_AREA,MATCH(G25,DIFFERENTIATION_ID_DIFF,0)))</f>
        <v/>
      </c>
      <c r="H27" s="1221"/>
      <c r="I27" s="1220" t="str">
        <f>IF(I25="","",INDEX(DIFFERENTIATION_UNMERGE_AREA,MATCH(I25,DIFFERENTIATION_ID_DIFF,0)))</f>
        <v>Территория 1</v>
      </c>
      <c r="J27" s="1221"/>
      <c r="K27" s="1050"/>
      <c r="V27" s="17">
        <v>15</v>
      </c>
    </row>
    <row r="28" spans="2:22" ht="15.75" customHeight="1">
      <c r="D28" s="449"/>
      <c r="E28" s="1197" t="s">
        <v>566</v>
      </c>
      <c r="F28" s="1198"/>
      <c r="G28" s="1220" t="str">
        <f>IF(G25="","",INDEX(DIFFERENTIATION_UNMERGE_SYSTEM,MATCH(G25,DIFFERENTIATION_ID_DIFF,0)))</f>
        <v/>
      </c>
      <c r="H28" s="1221"/>
      <c r="I28" s="1220" t="str">
        <f>IF(I25="","",INDEX(DIFFERENTIATION_UNMERGE_SYSTEM,MATCH(I25,DIFFERENTIATION_ID_DIFF,0)))</f>
        <v>в зоне поставки котельной, расположенной по адресу: г. Москва, поселение Московский, Передельцевский проезд, стр.2</v>
      </c>
      <c r="J28" s="1221"/>
      <c r="K28" s="1050"/>
      <c r="V28" s="17">
        <v>15</v>
      </c>
    </row>
    <row r="29" spans="2:22" ht="15.75" customHeight="1">
      <c r="D29" s="1199" t="s">
        <v>301</v>
      </c>
      <c r="E29" s="1200"/>
      <c r="F29" s="1200"/>
      <c r="G29" s="450"/>
      <c r="H29" s="450"/>
      <c r="I29" s="450"/>
      <c r="J29" s="451"/>
      <c r="K29" s="1050"/>
      <c r="V29" s="17">
        <v>15</v>
      </c>
    </row>
    <row r="30" spans="2:22" ht="35.65" customHeight="1">
      <c r="D30" s="88" t="s">
        <v>88</v>
      </c>
      <c r="E30" s="88" t="s">
        <v>303</v>
      </c>
      <c r="F30" s="88" t="s">
        <v>567</v>
      </c>
      <c r="G30" s="22" t="s">
        <v>304</v>
      </c>
      <c r="H30" s="88" t="s">
        <v>391</v>
      </c>
      <c r="I30" s="22" t="s">
        <v>304</v>
      </c>
      <c r="J30" s="88" t="s">
        <v>391</v>
      </c>
      <c r="K30" s="1053"/>
      <c r="V30" s="17">
        <v>34</v>
      </c>
    </row>
    <row r="31" spans="2:22" ht="15" hidden="1" customHeight="1">
      <c r="K31" s="296"/>
      <c r="V31" s="17">
        <v>0</v>
      </c>
    </row>
    <row r="32" spans="2:22" ht="24" customHeight="1">
      <c r="B32" s="17" t="s">
        <v>952</v>
      </c>
      <c r="D32" s="584">
        <v>1</v>
      </c>
      <c r="E32" s="542" t="s">
        <v>953</v>
      </c>
      <c r="F32" s="21" t="s">
        <v>307</v>
      </c>
      <c r="G32" s="21" t="s">
        <v>307</v>
      </c>
      <c r="H32" s="21" t="s">
        <v>307</v>
      </c>
      <c r="I32" s="21" t="s">
        <v>307</v>
      </c>
      <c r="J32" s="21" t="s">
        <v>307</v>
      </c>
      <c r="K32" s="296"/>
      <c r="V32" s="17">
        <v>23</v>
      </c>
    </row>
    <row r="33" spans="1:22" ht="11.45" customHeight="1">
      <c r="D33" s="534"/>
      <c r="E33" s="100" t="s">
        <v>587</v>
      </c>
      <c r="F33" s="463"/>
      <c r="G33" s="463"/>
      <c r="H33" s="463"/>
      <c r="I33" s="463"/>
      <c r="J33" s="463"/>
      <c r="K33" s="464"/>
      <c r="V33" s="17">
        <v>11</v>
      </c>
    </row>
    <row r="34" spans="1:22" ht="24" customHeight="1">
      <c r="B34" s="33" t="s">
        <v>637</v>
      </c>
      <c r="D34" s="584">
        <v>2</v>
      </c>
      <c r="E34" s="542" t="s">
        <v>954</v>
      </c>
      <c r="F34" s="21" t="s">
        <v>307</v>
      </c>
      <c r="G34" s="21" t="s">
        <v>307</v>
      </c>
      <c r="H34" s="21" t="s">
        <v>307</v>
      </c>
      <c r="I34" s="21"/>
      <c r="J34" s="21"/>
      <c r="K34" s="296"/>
      <c r="V34" s="17">
        <v>23</v>
      </c>
    </row>
    <row r="35" spans="1:22" ht="11.45" customHeight="1">
      <c r="D35" s="534"/>
      <c r="E35" s="100" t="s">
        <v>955</v>
      </c>
      <c r="F35" s="463"/>
      <c r="G35" s="585"/>
      <c r="H35" s="463"/>
      <c r="I35" s="585"/>
      <c r="J35" s="463"/>
      <c r="K35" s="464"/>
      <c r="V35" s="17">
        <v>11</v>
      </c>
    </row>
    <row r="36" spans="1:22" ht="71.25" customHeight="1">
      <c r="B36" s="17" t="s">
        <v>956</v>
      </c>
      <c r="D36" s="584">
        <v>3</v>
      </c>
      <c r="E36" s="542" t="s">
        <v>957</v>
      </c>
      <c r="F36" s="78" t="s">
        <v>307</v>
      </c>
      <c r="G36" s="122" t="s">
        <v>958</v>
      </c>
      <c r="H36" s="21" t="s">
        <v>307</v>
      </c>
      <c r="I36" s="122" t="s">
        <v>959</v>
      </c>
      <c r="J36" s="21" t="s">
        <v>307</v>
      </c>
      <c r="K36" s="296" t="s">
        <v>960</v>
      </c>
      <c r="V36" s="17">
        <v>68</v>
      </c>
    </row>
    <row r="37" spans="1:22" ht="11.45" customHeight="1">
      <c r="D37" s="534"/>
      <c r="E37" s="100" t="s">
        <v>961</v>
      </c>
      <c r="F37" s="463"/>
      <c r="G37" s="585"/>
      <c r="H37" s="585"/>
      <c r="I37" s="585"/>
      <c r="J37" s="585"/>
      <c r="K37" s="464"/>
      <c r="V37" s="17">
        <v>11</v>
      </c>
    </row>
    <row r="38" spans="1:22" ht="71.25" customHeight="1">
      <c r="B38" s="17" t="s">
        <v>962</v>
      </c>
      <c r="D38" s="584">
        <v>4</v>
      </c>
      <c r="E38" s="542" t="s">
        <v>963</v>
      </c>
      <c r="F38" s="78" t="s">
        <v>307</v>
      </c>
      <c r="G38" s="122" t="s">
        <v>958</v>
      </c>
      <c r="H38" s="88" t="s">
        <v>307</v>
      </c>
      <c r="I38" s="122" t="s">
        <v>959</v>
      </c>
      <c r="J38" s="88" t="s">
        <v>307</v>
      </c>
      <c r="K38" s="586" t="s">
        <v>964</v>
      </c>
      <c r="V38" s="17">
        <v>68</v>
      </c>
    </row>
    <row r="39" spans="1:22" ht="11.45" customHeight="1">
      <c r="D39" s="534"/>
      <c r="E39" s="100" t="s">
        <v>965</v>
      </c>
      <c r="F39" s="463"/>
      <c r="G39" s="463"/>
      <c r="H39" s="587"/>
      <c r="I39" s="463"/>
      <c r="J39" s="587"/>
      <c r="K39" s="464"/>
      <c r="V39" s="17">
        <v>11</v>
      </c>
    </row>
    <row r="40" spans="1:22" ht="22.5" hidden="1" customHeight="1">
      <c r="A40" s="15" t="s">
        <v>82</v>
      </c>
      <c r="B40" s="17">
        <v>0</v>
      </c>
      <c r="C40" s="588">
        <v>4</v>
      </c>
      <c r="D40" s="17">
        <v>6</v>
      </c>
      <c r="E40" s="17">
        <v>36</v>
      </c>
      <c r="F40" s="17">
        <v>9</v>
      </c>
      <c r="G40" s="17">
        <v>0</v>
      </c>
      <c r="H40" s="17">
        <v>0</v>
      </c>
      <c r="I40" s="17">
        <v>25</v>
      </c>
      <c r="J40" s="17">
        <v>33</v>
      </c>
      <c r="K40" s="37">
        <v>93</v>
      </c>
      <c r="L40" s="17">
        <v>10</v>
      </c>
      <c r="M40" s="17">
        <v>10</v>
      </c>
      <c r="N40" s="17">
        <v>10</v>
      </c>
      <c r="O40" s="17">
        <v>10</v>
      </c>
      <c r="P40" s="17">
        <v>10</v>
      </c>
      <c r="Q40" s="17">
        <v>10</v>
      </c>
      <c r="R40" s="17">
        <v>10</v>
      </c>
      <c r="S40" s="17">
        <v>10</v>
      </c>
      <c r="T40" s="17">
        <v>10</v>
      </c>
      <c r="U40" s="589">
        <v>10</v>
      </c>
      <c r="V40" s="17">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0866141732283472" right="0.70866141732283472" top="0.74803149606299213" bottom="0.74803149606299213" header="0.31496062992125984" footer="0.31496062992125984"/>
  <pageSetup paperSize="9" scale="72"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349F-B0BE-A0E1-C81D-4F0855D827C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4" width="6.7109375" hidden="1" customWidth="1"/>
    <col min="5" max="5" width="3" customWidth="1"/>
    <col min="6" max="6" width="6" customWidth="1"/>
    <col min="7" max="7" width="37" customWidth="1"/>
    <col min="8" max="8" width="16" customWidth="1"/>
    <col min="9" max="10" width="19" customWidth="1"/>
    <col min="11" max="11" width="24" customWidth="1"/>
    <col min="12" max="13" width="25" customWidth="1"/>
    <col min="14" max="16" width="17" customWidth="1"/>
    <col min="17" max="24" width="19" customWidth="1"/>
    <col min="25" max="25" width="7" customWidth="1"/>
    <col min="26" max="26" width="3" customWidth="1"/>
    <col min="27" max="27" width="6" customWidth="1"/>
    <col min="28" max="28" width="34" customWidth="1"/>
    <col min="29" max="30" width="8" customWidth="1"/>
    <col min="31" max="31" width="9.140625" hidden="1"/>
  </cols>
  <sheetData>
    <row r="1" spans="1:31" ht="10.5" hidden="1" customHeight="1">
      <c r="AE1" s="37" t="s">
        <v>14</v>
      </c>
    </row>
    <row r="2" spans="1:31" ht="10.5" hidden="1" customHeight="1">
      <c r="AE2" s="17">
        <v>0</v>
      </c>
    </row>
    <row r="3" spans="1:31" ht="10.5" hidden="1" customHeight="1">
      <c r="G3" s="15" t="s">
        <v>966</v>
      </c>
      <c r="AE3" s="15">
        <v>0</v>
      </c>
    </row>
    <row r="4" spans="1:31" ht="3" customHeight="1">
      <c r="AE4" s="17">
        <v>3</v>
      </c>
    </row>
    <row r="5" spans="1:31" ht="27.4" customHeight="1">
      <c r="F5" s="10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093"/>
      <c r="H5" s="1093"/>
      <c r="I5" s="1093"/>
      <c r="J5" s="1093"/>
      <c r="K5" s="1093"/>
      <c r="AE5" s="17">
        <v>26</v>
      </c>
    </row>
    <row r="6" spans="1:31" ht="16.899999999999999" customHeight="1">
      <c r="F6" s="1066" t="str">
        <f>IF(org=0,"Не определено",org)</f>
        <v>ООО "ТВС"</v>
      </c>
      <c r="G6" s="1066"/>
      <c r="H6" s="1066"/>
      <c r="I6" s="1066"/>
      <c r="J6" s="1066"/>
      <c r="K6" s="1066"/>
      <c r="AE6" s="17">
        <v>16</v>
      </c>
    </row>
    <row r="7" spans="1:31" ht="10.5" customHeight="1">
      <c r="AE7" s="17">
        <v>10</v>
      </c>
    </row>
    <row r="8" spans="1:31" ht="10.5" customHeight="1">
      <c r="F8" s="977" t="s">
        <v>301</v>
      </c>
      <c r="G8" s="982"/>
      <c r="H8" s="982"/>
      <c r="I8" s="982"/>
      <c r="J8" s="982"/>
      <c r="K8" s="982"/>
      <c r="L8" s="982"/>
      <c r="M8" s="982"/>
      <c r="N8" s="982"/>
      <c r="O8" s="982"/>
      <c r="P8" s="982"/>
      <c r="Q8" s="982"/>
      <c r="R8" s="982"/>
      <c r="S8" s="982"/>
      <c r="T8" s="982"/>
      <c r="U8" s="982"/>
      <c r="V8" s="982"/>
      <c r="W8" s="982"/>
      <c r="X8" s="982"/>
      <c r="Y8" s="982"/>
      <c r="Z8" s="982"/>
      <c r="AA8" s="982"/>
      <c r="AB8" s="976"/>
      <c r="AE8" s="17">
        <v>10</v>
      </c>
    </row>
    <row r="9" spans="1:31" ht="43.15" customHeight="1">
      <c r="F9" s="995" t="s">
        <v>88</v>
      </c>
      <c r="G9" s="995" t="s">
        <v>966</v>
      </c>
      <c r="H9" s="1046" t="s">
        <v>967</v>
      </c>
      <c r="I9" s="995" t="s">
        <v>968</v>
      </c>
      <c r="J9" s="995" t="s">
        <v>969</v>
      </c>
      <c r="K9" s="995" t="s">
        <v>970</v>
      </c>
      <c r="L9" s="995" t="s">
        <v>971</v>
      </c>
      <c r="M9" s="995" t="s">
        <v>972</v>
      </c>
      <c r="N9" s="1073" t="s">
        <v>973</v>
      </c>
      <c r="O9" s="1073"/>
      <c r="P9" s="1073"/>
      <c r="Q9" s="1125" t="s">
        <v>974</v>
      </c>
      <c r="R9" s="1126"/>
      <c r="S9" s="1126"/>
      <c r="T9" s="1127"/>
      <c r="U9" s="1125" t="s">
        <v>975</v>
      </c>
      <c r="V9" s="1126"/>
      <c r="W9" s="1126"/>
      <c r="X9" s="1127"/>
      <c r="Y9" s="977" t="s">
        <v>976</v>
      </c>
      <c r="Z9" s="982"/>
      <c r="AA9" s="982"/>
      <c r="AB9" s="976"/>
      <c r="AE9" s="17">
        <v>41</v>
      </c>
    </row>
    <row r="10" spans="1:31" ht="43.15" customHeight="1">
      <c r="F10" s="1046"/>
      <c r="G10" s="1046"/>
      <c r="H10" s="1098"/>
      <c r="I10" s="1046"/>
      <c r="J10" s="1046"/>
      <c r="K10" s="1046"/>
      <c r="L10" s="1046"/>
      <c r="M10" s="1046"/>
      <c r="N10" s="590" t="s">
        <v>977</v>
      </c>
      <c r="O10" s="590" t="s">
        <v>978</v>
      </c>
      <c r="P10" s="342" t="s">
        <v>979</v>
      </c>
      <c r="Q10" s="590" t="s">
        <v>89</v>
      </c>
      <c r="R10" s="590" t="s">
        <v>980</v>
      </c>
      <c r="S10" s="590" t="s">
        <v>981</v>
      </c>
      <c r="T10" s="419" t="s">
        <v>982</v>
      </c>
      <c r="U10" s="590" t="s">
        <v>89</v>
      </c>
      <c r="V10" s="590" t="s">
        <v>983</v>
      </c>
      <c r="W10" s="590" t="s">
        <v>981</v>
      </c>
      <c r="X10" s="419" t="s">
        <v>982</v>
      </c>
      <c r="Y10" s="341" t="s">
        <v>984</v>
      </c>
      <c r="Z10" s="977" t="s">
        <v>88</v>
      </c>
      <c r="AA10" s="976"/>
      <c r="AB10" s="88" t="s">
        <v>985</v>
      </c>
      <c r="AE10" s="17">
        <v>41</v>
      </c>
    </row>
    <row r="11" spans="1:31" ht="5.25" hidden="1" customHeight="1">
      <c r="F11" s="1224" t="s">
        <v>377</v>
      </c>
      <c r="G11" s="1226"/>
      <c r="H11" s="1222"/>
      <c r="I11" s="1222"/>
      <c r="J11" s="1222"/>
      <c r="K11" s="1225"/>
      <c r="L11" s="1225"/>
      <c r="M11" s="1225"/>
      <c r="N11" s="1222"/>
      <c r="O11" s="1222"/>
      <c r="P11" s="995"/>
      <c r="Q11" s="1056"/>
      <c r="R11" s="1056"/>
      <c r="S11" s="1056"/>
      <c r="T11" s="1222"/>
      <c r="U11" s="1056"/>
      <c r="V11" s="1056"/>
      <c r="W11" s="1056"/>
      <c r="X11" s="1222"/>
      <c r="Y11" s="1005"/>
      <c r="Z11" s="1005"/>
      <c r="AA11" s="1005"/>
      <c r="AB11" s="1005"/>
      <c r="AD11" s="75" t="s">
        <v>986</v>
      </c>
      <c r="AE11" s="75">
        <v>0</v>
      </c>
    </row>
    <row r="12" spans="1:31" ht="5.25" hidden="1" customHeight="1">
      <c r="F12" s="1224"/>
      <c r="G12" s="1226"/>
      <c r="H12" s="1222"/>
      <c r="I12" s="1222"/>
      <c r="J12" s="1222"/>
      <c r="K12" s="1225"/>
      <c r="L12" s="1225"/>
      <c r="M12" s="1225"/>
      <c r="N12" s="1222"/>
      <c r="O12" s="1222"/>
      <c r="P12" s="995"/>
      <c r="Q12" s="1056"/>
      <c r="R12" s="1056"/>
      <c r="S12" s="1056"/>
      <c r="T12" s="1222"/>
      <c r="U12" s="1056"/>
      <c r="V12" s="1056"/>
      <c r="W12" s="1056"/>
      <c r="X12" s="1222"/>
      <c r="Y12" s="1223"/>
      <c r="Z12" s="1223"/>
      <c r="AA12" s="1223"/>
      <c r="AB12" s="1223"/>
      <c r="AE12" s="75">
        <v>0</v>
      </c>
    </row>
    <row r="13" spans="1:31" ht="10.5" customHeight="1">
      <c r="F13" s="406"/>
      <c r="G13" s="100" t="s">
        <v>987</v>
      </c>
      <c r="H13" s="100"/>
      <c r="I13" s="463"/>
      <c r="J13" s="463"/>
      <c r="K13" s="463"/>
      <c r="L13" s="463"/>
      <c r="M13" s="463"/>
      <c r="N13" s="463"/>
      <c r="O13" s="463"/>
      <c r="P13" s="463"/>
      <c r="Q13" s="463"/>
      <c r="R13" s="463"/>
      <c r="S13" s="463"/>
      <c r="T13" s="463"/>
      <c r="U13" s="463"/>
      <c r="V13" s="463"/>
      <c r="W13" s="463"/>
      <c r="X13" s="463"/>
      <c r="Y13" s="463"/>
      <c r="Z13" s="587"/>
      <c r="AA13" s="587"/>
      <c r="AB13" s="592"/>
      <c r="AE13" s="17">
        <v>10</v>
      </c>
    </row>
    <row r="14" spans="1:31" ht="10.5" customHeight="1">
      <c r="AE14" s="17">
        <v>10</v>
      </c>
    </row>
    <row r="15" spans="1:31" ht="10.5" customHeight="1">
      <c r="H15" s="75">
        <f>IFERROR(MATCH("нет",IP_MAIN_DIFFERENTIATION_EVENTS_FLAG,0),0)</f>
        <v>0</v>
      </c>
      <c r="AE15" s="75">
        <v>10</v>
      </c>
    </row>
    <row r="16" spans="1:31" ht="10.5" hidden="1" customHeight="1">
      <c r="A16" s="66" t="s">
        <v>82</v>
      </c>
      <c r="B16" s="66">
        <v>0</v>
      </c>
      <c r="C16" s="66">
        <v>0</v>
      </c>
      <c r="D16" s="37">
        <v>0</v>
      </c>
      <c r="E16" s="17">
        <v>3</v>
      </c>
      <c r="F16" s="17">
        <v>6</v>
      </c>
      <c r="G16" s="17">
        <v>37</v>
      </c>
      <c r="H16" s="17">
        <v>16</v>
      </c>
      <c r="I16" s="17">
        <v>19</v>
      </c>
      <c r="J16" s="17">
        <v>19</v>
      </c>
      <c r="K16" s="17">
        <v>24</v>
      </c>
      <c r="L16" s="17">
        <v>25</v>
      </c>
      <c r="M16" s="17">
        <v>25</v>
      </c>
      <c r="N16" s="17">
        <v>17</v>
      </c>
      <c r="O16" s="17">
        <v>17</v>
      </c>
      <c r="P16" s="17">
        <v>17</v>
      </c>
      <c r="Q16" s="17">
        <v>19</v>
      </c>
      <c r="R16" s="17">
        <v>19</v>
      </c>
      <c r="S16" s="17">
        <v>19</v>
      </c>
      <c r="T16" s="17">
        <v>19</v>
      </c>
      <c r="U16" s="17">
        <v>19</v>
      </c>
      <c r="V16" s="17">
        <v>19</v>
      </c>
      <c r="W16" s="17">
        <v>19</v>
      </c>
      <c r="X16" s="17">
        <v>19</v>
      </c>
      <c r="Y16" s="17">
        <v>7</v>
      </c>
      <c r="Z16" s="17">
        <v>3</v>
      </c>
      <c r="AA16" s="17">
        <v>6</v>
      </c>
      <c r="AB16" s="17">
        <v>34</v>
      </c>
      <c r="AC16" s="17">
        <v>8</v>
      </c>
      <c r="AD16" s="17">
        <v>8</v>
      </c>
      <c r="AE16" s="17">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1FFF-2341-A16C-9A3E-707779D196B6}">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4" width="4.140625" hidden="1" customWidth="1"/>
    <col min="5" max="5" width="3" customWidth="1"/>
    <col min="6" max="6" width="14" customWidth="1"/>
    <col min="7" max="7" width="3" customWidth="1"/>
    <col min="8" max="8" width="7" customWidth="1"/>
    <col min="9" max="10" width="16" customWidth="1"/>
    <col min="11" max="11" width="25" customWidth="1"/>
    <col min="12" max="12" width="7" customWidth="1"/>
    <col min="13" max="13" width="15" customWidth="1"/>
    <col min="14" max="14" width="3" customWidth="1"/>
    <col min="15" max="15" width="4" customWidth="1"/>
    <col min="16" max="16" width="8" customWidth="1"/>
    <col min="17" max="17" width="21" customWidth="1"/>
    <col min="18" max="18" width="14" customWidth="1"/>
    <col min="19" max="20" width="17" customWidth="1"/>
    <col min="21" max="21" width="9" customWidth="1"/>
    <col min="22" max="22" width="12" customWidth="1"/>
    <col min="23" max="23" width="9" customWidth="1"/>
    <col min="24" max="24" width="21" customWidth="1"/>
    <col min="25" max="25" width="12" customWidth="1"/>
    <col min="26" max="26" width="3" customWidth="1"/>
    <col min="27" max="27" width="6" customWidth="1"/>
    <col min="28" max="28" width="38" customWidth="1"/>
    <col min="29" max="29" width="15" customWidth="1"/>
    <col min="30" max="30" width="37.5703125" hidden="1" customWidth="1"/>
    <col min="31" max="31" width="15.7109375" hidden="1" customWidth="1"/>
    <col min="32" max="34" width="16" customWidth="1"/>
    <col min="35" max="37" width="16.7109375" hidden="1" customWidth="1"/>
    <col min="38" max="58" width="8" customWidth="1"/>
    <col min="59" max="59" width="9.140625" hidden="1"/>
  </cols>
  <sheetData>
    <row r="1" spans="5:59" ht="10.5" hidden="1" customHeight="1">
      <c r="BG1" s="37" t="s">
        <v>14</v>
      </c>
    </row>
    <row r="2" spans="5:59" ht="10.5" hidden="1" customHeight="1">
      <c r="BG2" s="17">
        <v>0</v>
      </c>
    </row>
    <row r="3" spans="5:59" ht="10.5" hidden="1" customHeight="1">
      <c r="BG3" s="15">
        <v>0</v>
      </c>
    </row>
    <row r="4" spans="5:59" ht="3" customHeight="1">
      <c r="BG4" s="17">
        <v>3</v>
      </c>
    </row>
    <row r="5" spans="5:59" ht="27.4" customHeight="1">
      <c r="F5" s="10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093"/>
      <c r="H5" s="1093"/>
      <c r="I5" s="1093"/>
      <c r="J5" s="1093"/>
      <c r="K5" s="1093"/>
      <c r="BG5" s="17">
        <v>26</v>
      </c>
    </row>
    <row r="6" spans="5:59" ht="10.5" customHeight="1">
      <c r="F6" s="1066" t="str">
        <f>IF(org=0,"Не определено",org)</f>
        <v>ООО "ТВС"</v>
      </c>
      <c r="G6" s="1066"/>
      <c r="H6" s="1066"/>
      <c r="I6" s="1066"/>
      <c r="J6" s="1066"/>
      <c r="K6" s="1066"/>
      <c r="BG6" s="17">
        <v>10</v>
      </c>
    </row>
    <row r="7" spans="5:59" ht="11.45" customHeight="1">
      <c r="E7" s="38"/>
      <c r="F7" s="593"/>
      <c r="G7" s="593"/>
      <c r="H7" s="593"/>
      <c r="I7" s="593"/>
      <c r="J7" s="593"/>
      <c r="K7" s="594"/>
      <c r="L7" s="594"/>
      <c r="M7" s="594"/>
      <c r="N7" s="593"/>
      <c r="O7" s="593"/>
      <c r="P7" s="593"/>
      <c r="Q7" s="594"/>
      <c r="R7" s="593"/>
      <c r="S7" s="593"/>
      <c r="T7" s="593"/>
      <c r="U7" s="593"/>
      <c r="V7" s="593"/>
      <c r="W7" s="593"/>
      <c r="X7" s="593"/>
      <c r="Y7" s="593"/>
      <c r="Z7" s="593"/>
      <c r="AA7" s="593"/>
      <c r="AB7" s="593"/>
      <c r="AC7" s="595"/>
      <c r="AD7" s="595"/>
      <c r="AE7" s="595"/>
      <c r="AF7" s="593"/>
      <c r="AG7" s="593"/>
      <c r="AH7" s="593"/>
      <c r="AI7" s="593"/>
      <c r="AJ7" s="593"/>
      <c r="AK7" s="593"/>
      <c r="BG7" s="17">
        <v>11</v>
      </c>
    </row>
    <row r="8" spans="5:59" ht="10.5" customHeight="1">
      <c r="E8" s="38"/>
      <c r="F8" s="1228" t="s">
        <v>301</v>
      </c>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30"/>
      <c r="AL8" s="596"/>
      <c r="BG8" s="17">
        <v>10</v>
      </c>
    </row>
    <row r="9" spans="5:59" ht="24" customHeight="1">
      <c r="E9" s="38"/>
      <c r="F9" s="1073" t="s">
        <v>988</v>
      </c>
      <c r="G9" s="1173" t="s">
        <v>989</v>
      </c>
      <c r="H9" s="1211"/>
      <c r="I9" s="995" t="s">
        <v>990</v>
      </c>
      <c r="J9" s="995"/>
      <c r="K9" s="995" t="s">
        <v>991</v>
      </c>
      <c r="L9" s="995"/>
      <c r="M9" s="995"/>
      <c r="N9" s="995"/>
      <c r="O9" s="995"/>
      <c r="P9" s="995"/>
      <c r="Q9" s="995"/>
      <c r="R9" s="995"/>
      <c r="S9" s="995"/>
      <c r="T9" s="995"/>
      <c r="U9" s="995"/>
      <c r="V9" s="995"/>
      <c r="W9" s="995"/>
      <c r="X9" s="995"/>
      <c r="Y9" s="995"/>
      <c r="Z9" s="1047" t="s">
        <v>992</v>
      </c>
      <c r="AA9" s="1048"/>
      <c r="AB9" s="995" t="s">
        <v>993</v>
      </c>
      <c r="AC9" s="995"/>
      <c r="AD9" s="995"/>
      <c r="AE9" s="995"/>
      <c r="AF9" s="1046" t="s">
        <v>994</v>
      </c>
      <c r="AG9" s="995" t="s">
        <v>995</v>
      </c>
      <c r="AH9" s="995"/>
      <c r="AI9" s="1046" t="s">
        <v>996</v>
      </c>
      <c r="AJ9" s="995" t="s">
        <v>997</v>
      </c>
      <c r="AK9" s="995"/>
      <c r="BG9" s="17">
        <v>23</v>
      </c>
    </row>
    <row r="10" spans="5:59" ht="25.15" customHeight="1">
      <c r="E10" s="38"/>
      <c r="F10" s="1073"/>
      <c r="G10" s="1174"/>
      <c r="H10" s="1077"/>
      <c r="I10" s="995"/>
      <c r="J10" s="995"/>
      <c r="K10" s="995" t="s">
        <v>998</v>
      </c>
      <c r="L10" s="977" t="s">
        <v>999</v>
      </c>
      <c r="M10" s="976"/>
      <c r="N10" s="995" t="s">
        <v>1000</v>
      </c>
      <c r="O10" s="995"/>
      <c r="P10" s="995"/>
      <c r="Q10" s="995"/>
      <c r="R10" s="995"/>
      <c r="S10" s="995"/>
      <c r="T10" s="995"/>
      <c r="U10" s="995"/>
      <c r="V10" s="995"/>
      <c r="W10" s="995"/>
      <c r="X10" s="995"/>
      <c r="Y10" s="995"/>
      <c r="Z10" s="1049"/>
      <c r="AA10" s="1050"/>
      <c r="AB10" s="995"/>
      <c r="AC10" s="995"/>
      <c r="AD10" s="995"/>
      <c r="AE10" s="995"/>
      <c r="AF10" s="1051"/>
      <c r="AG10" s="995"/>
      <c r="AH10" s="995"/>
      <c r="AI10" s="1051"/>
      <c r="AJ10" s="995"/>
      <c r="AK10" s="995"/>
      <c r="BG10" s="17">
        <v>24</v>
      </c>
    </row>
    <row r="11" spans="5:59" ht="25.15" customHeight="1">
      <c r="E11" s="38"/>
      <c r="F11" s="1073"/>
      <c r="G11" s="1174"/>
      <c r="H11" s="1077"/>
      <c r="I11" s="995"/>
      <c r="J11" s="995"/>
      <c r="K11" s="995"/>
      <c r="L11" s="1046" t="s">
        <v>1001</v>
      </c>
      <c r="M11" s="1046" t="s">
        <v>1002</v>
      </c>
      <c r="N11" s="995" t="s">
        <v>1003</v>
      </c>
      <c r="O11" s="995"/>
      <c r="P11" s="1044" t="s">
        <v>984</v>
      </c>
      <c r="Q11" s="1044" t="s">
        <v>1004</v>
      </c>
      <c r="R11" s="1044" t="s">
        <v>1005</v>
      </c>
      <c r="S11" s="1044" t="s">
        <v>1006</v>
      </c>
      <c r="T11" s="1044"/>
      <c r="U11" s="1044"/>
      <c r="V11" s="1044"/>
      <c r="W11" s="1044"/>
      <c r="X11" s="1044"/>
      <c r="Y11" s="1044"/>
      <c r="Z11" s="1049"/>
      <c r="AA11" s="1050"/>
      <c r="AB11" s="995" t="s">
        <v>1007</v>
      </c>
      <c r="AC11" s="995"/>
      <c r="AD11" s="977" t="s">
        <v>1008</v>
      </c>
      <c r="AE11" s="976"/>
      <c r="AF11" s="1051"/>
      <c r="AG11" s="995"/>
      <c r="AH11" s="995"/>
      <c r="AI11" s="1051"/>
      <c r="AJ11" s="995"/>
      <c r="AK11" s="995"/>
      <c r="BG11" s="17">
        <v>24</v>
      </c>
    </row>
    <row r="12" spans="5:59" ht="35.65" customHeight="1">
      <c r="E12" s="38"/>
      <c r="F12" s="1073"/>
      <c r="G12" s="1175"/>
      <c r="H12" s="1227"/>
      <c r="I12" s="88" t="s">
        <v>89</v>
      </c>
      <c r="J12" s="88" t="s">
        <v>1009</v>
      </c>
      <c r="K12" s="995"/>
      <c r="L12" s="1098"/>
      <c r="M12" s="1098"/>
      <c r="N12" s="995"/>
      <c r="O12" s="995"/>
      <c r="P12" s="1044"/>
      <c r="Q12" s="1044"/>
      <c r="R12" s="1044"/>
      <c r="S12" s="134" t="s">
        <v>86</v>
      </c>
      <c r="T12" s="134" t="s">
        <v>87</v>
      </c>
      <c r="U12" s="134" t="s">
        <v>85</v>
      </c>
      <c r="V12" s="134" t="s">
        <v>1010</v>
      </c>
      <c r="W12" s="134" t="s">
        <v>85</v>
      </c>
      <c r="X12" s="134" t="s">
        <v>1011</v>
      </c>
      <c r="Y12" s="134" t="s">
        <v>1012</v>
      </c>
      <c r="Z12" s="1052"/>
      <c r="AA12" s="1053"/>
      <c r="AB12" s="88" t="s">
        <v>1013</v>
      </c>
      <c r="AC12" s="88" t="s">
        <v>1014</v>
      </c>
      <c r="AD12" s="88" t="s">
        <v>1013</v>
      </c>
      <c r="AE12" s="88" t="s">
        <v>1014</v>
      </c>
      <c r="AF12" s="1098"/>
      <c r="AG12" s="88" t="s">
        <v>1015</v>
      </c>
      <c r="AH12" s="88" t="s">
        <v>1016</v>
      </c>
      <c r="AI12" s="1098"/>
      <c r="AJ12" s="88" t="s">
        <v>1015</v>
      </c>
      <c r="AK12" s="88" t="s">
        <v>1016</v>
      </c>
      <c r="BG12" s="17">
        <v>34</v>
      </c>
    </row>
    <row r="13" spans="5:59" ht="1.1499999999999999" customHeight="1">
      <c r="E13" s="38"/>
      <c r="F13" s="38">
        <v>0</v>
      </c>
      <c r="G13" s="38"/>
      <c r="H13" s="38"/>
      <c r="I13" s="38"/>
      <c r="J13" s="38"/>
      <c r="AL13" s="596"/>
      <c r="BG13" s="17">
        <v>1</v>
      </c>
    </row>
    <row r="14" spans="5:59" ht="10.5" customHeight="1">
      <c r="BG14" s="17">
        <v>10</v>
      </c>
    </row>
    <row r="15" spans="5:59" ht="13.5" customHeight="1">
      <c r="F15" s="125" t="s">
        <v>1017</v>
      </c>
      <c r="BG15" s="17">
        <v>13</v>
      </c>
    </row>
    <row r="16" spans="5:59" ht="10.5" customHeight="1">
      <c r="BG16" s="17">
        <v>10</v>
      </c>
    </row>
    <row r="17" spans="1:59" ht="10.5" customHeight="1">
      <c r="F17" s="964"/>
      <c r="G17" s="964"/>
      <c r="H17" s="964"/>
      <c r="I17" s="964"/>
      <c r="J17" s="964"/>
      <c r="BG17" s="17">
        <v>10</v>
      </c>
    </row>
    <row r="18" spans="1:59" ht="10.5" customHeight="1">
      <c r="F18" s="964"/>
      <c r="G18" s="964"/>
      <c r="H18" s="964"/>
      <c r="I18" s="964"/>
      <c r="J18" s="964"/>
      <c r="BG18" s="17">
        <v>10</v>
      </c>
    </row>
    <row r="19" spans="1:59" ht="10.5" customHeight="1">
      <c r="F19" s="964"/>
      <c r="G19" s="964"/>
      <c r="H19" s="964"/>
      <c r="I19" s="964"/>
      <c r="J19" s="964"/>
      <c r="BG19" s="17">
        <v>10</v>
      </c>
    </row>
    <row r="20" spans="1:59" ht="10.5" hidden="1" customHeight="1">
      <c r="A20" s="66" t="s">
        <v>82</v>
      </c>
      <c r="B20" s="66">
        <v>0</v>
      </c>
      <c r="C20" s="66">
        <v>0</v>
      </c>
      <c r="D20" s="37">
        <v>0</v>
      </c>
      <c r="E20" s="17">
        <v>3</v>
      </c>
      <c r="F20" s="17">
        <v>14</v>
      </c>
      <c r="G20" s="17">
        <v>3</v>
      </c>
      <c r="H20" s="17">
        <v>7</v>
      </c>
      <c r="I20" s="17">
        <v>16</v>
      </c>
      <c r="J20" s="17">
        <v>16</v>
      </c>
      <c r="K20" s="17">
        <v>25</v>
      </c>
      <c r="L20" s="17">
        <v>7</v>
      </c>
      <c r="M20" s="17">
        <v>15</v>
      </c>
      <c r="N20" s="17">
        <v>3</v>
      </c>
      <c r="O20" s="17">
        <v>4</v>
      </c>
      <c r="P20" s="17">
        <v>8</v>
      </c>
      <c r="Q20" s="17">
        <v>21</v>
      </c>
      <c r="R20" s="17">
        <v>14</v>
      </c>
      <c r="S20" s="17">
        <v>17</v>
      </c>
      <c r="T20" s="17">
        <v>17</v>
      </c>
      <c r="U20" s="17">
        <v>9</v>
      </c>
      <c r="V20" s="17">
        <v>12</v>
      </c>
      <c r="W20" s="17">
        <v>9</v>
      </c>
      <c r="X20" s="17">
        <v>21</v>
      </c>
      <c r="Y20" s="17">
        <v>12</v>
      </c>
      <c r="Z20" s="17">
        <v>3</v>
      </c>
      <c r="AA20" s="17">
        <v>6</v>
      </c>
      <c r="AB20" s="17">
        <v>38</v>
      </c>
      <c r="AC20" s="17">
        <v>15</v>
      </c>
      <c r="AD20" s="17">
        <v>0</v>
      </c>
      <c r="AE20" s="17">
        <v>0</v>
      </c>
      <c r="AF20" s="17">
        <v>16</v>
      </c>
      <c r="AG20" s="17">
        <v>16</v>
      </c>
      <c r="AH20" s="17">
        <v>16</v>
      </c>
      <c r="AI20" s="17">
        <v>0</v>
      </c>
      <c r="AJ20" s="17">
        <v>0</v>
      </c>
      <c r="AK20" s="17">
        <v>0</v>
      </c>
      <c r="AL20" s="17">
        <v>8</v>
      </c>
      <c r="AM20" s="17">
        <v>8</v>
      </c>
      <c r="AN20" s="17">
        <v>8</v>
      </c>
      <c r="AO20" s="17">
        <v>8</v>
      </c>
      <c r="AP20" s="17">
        <v>8</v>
      </c>
      <c r="AQ20" s="17">
        <v>8</v>
      </c>
      <c r="AR20" s="17">
        <v>8</v>
      </c>
      <c r="AS20" s="17">
        <v>8</v>
      </c>
      <c r="AT20" s="17">
        <v>8</v>
      </c>
      <c r="AU20" s="17">
        <v>8</v>
      </c>
      <c r="AV20" s="17">
        <v>8</v>
      </c>
      <c r="AW20" s="17">
        <v>8</v>
      </c>
      <c r="AX20" s="17">
        <v>8</v>
      </c>
      <c r="AY20" s="17">
        <v>8</v>
      </c>
      <c r="AZ20" s="17">
        <v>8</v>
      </c>
      <c r="BA20" s="17">
        <v>8</v>
      </c>
      <c r="BB20" s="17">
        <v>8</v>
      </c>
      <c r="BC20" s="17">
        <v>8</v>
      </c>
      <c r="BD20" s="17">
        <v>8</v>
      </c>
      <c r="BE20" s="17">
        <v>8</v>
      </c>
      <c r="BF20" s="17">
        <v>8</v>
      </c>
      <c r="BG20" s="17">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22CA-C238-479E-2807-3AFD7563DDE1}">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4" width="4.140625" hidden="1" customWidth="1"/>
    <col min="5" max="5" width="3" customWidth="1"/>
    <col min="6" max="6" width="6" customWidth="1"/>
    <col min="7" max="7" width="60" customWidth="1"/>
    <col min="8" max="9" width="21.7109375" hidden="1" customWidth="1"/>
    <col min="10" max="10" width="0.140625" customWidth="1"/>
    <col min="11" max="11" width="1" customWidth="1"/>
    <col min="12" max="22" width="8" customWidth="1"/>
    <col min="23" max="23" width="9.140625" hidden="1"/>
  </cols>
  <sheetData>
    <row r="1" spans="5:23" ht="10.5" hidden="1" customHeight="1">
      <c r="W1" s="37" t="s">
        <v>14</v>
      </c>
    </row>
    <row r="2" spans="5:23" ht="10.5" hidden="1" customHeight="1">
      <c r="W2" s="17">
        <v>0</v>
      </c>
    </row>
    <row r="3" spans="5:23" ht="10.5" hidden="1" customHeight="1">
      <c r="W3" s="15">
        <v>0</v>
      </c>
    </row>
    <row r="4" spans="5:23" ht="3" customHeight="1">
      <c r="W4" s="17">
        <v>3</v>
      </c>
    </row>
    <row r="5" spans="5:23" ht="27.4" customHeight="1">
      <c r="F5" s="109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093"/>
      <c r="H5" s="1093"/>
      <c r="I5" s="1093"/>
      <c r="J5" s="1093"/>
      <c r="W5" s="17">
        <v>26</v>
      </c>
    </row>
    <row r="6" spans="5:23" ht="10.5" customHeight="1">
      <c r="F6" s="1066" t="str">
        <f>IF(org=0,"Не определено",org)</f>
        <v>ООО "ТВС"</v>
      </c>
      <c r="G6" s="1066"/>
      <c r="H6" s="1066"/>
      <c r="I6" s="1066"/>
      <c r="J6" s="1066"/>
      <c r="W6" s="17">
        <v>10</v>
      </c>
    </row>
    <row r="7" spans="5:23" ht="11.45" customHeight="1">
      <c r="E7" s="38"/>
      <c r="F7" s="597"/>
      <c r="G7" s="597"/>
      <c r="H7" s="597"/>
      <c r="I7" s="597"/>
      <c r="J7" s="597"/>
      <c r="W7" s="17">
        <v>11</v>
      </c>
    </row>
    <row r="8" spans="5:23" ht="4.1500000000000004" customHeight="1">
      <c r="F8" s="598"/>
      <c r="G8" s="598"/>
      <c r="H8" s="598"/>
      <c r="I8" s="598"/>
      <c r="J8" s="598"/>
      <c r="W8" s="75">
        <v>4</v>
      </c>
    </row>
    <row r="9" spans="5:23" ht="10.5" customHeight="1">
      <c r="E9" s="38"/>
      <c r="F9" s="1231" t="s">
        <v>301</v>
      </c>
      <c r="G9" s="1232"/>
      <c r="H9" s="1232"/>
      <c r="I9" s="1232"/>
      <c r="J9" s="1232"/>
      <c r="K9" s="599"/>
      <c r="W9" s="17">
        <v>10</v>
      </c>
    </row>
    <row r="10" spans="5:23" ht="25.15" customHeight="1">
      <c r="F10" s="1235" t="s">
        <v>88</v>
      </c>
      <c r="G10" s="1239" t="s">
        <v>1018</v>
      </c>
      <c r="H10" s="1222" t="s">
        <v>1019</v>
      </c>
      <c r="I10" s="1222"/>
      <c r="J10" s="1222"/>
      <c r="K10" s="600"/>
      <c r="W10" s="17">
        <v>24</v>
      </c>
    </row>
    <row r="11" spans="5:23" ht="25.5" customHeight="1">
      <c r="F11" s="1236"/>
      <c r="G11" s="1239"/>
      <c r="H11" s="1238" t="e">
        <f>INDEX(IP_MAIN_LIST_NAME_IP,MATCH(H8,IP_MAIN_LIST_IP_ID,0))&amp;" ("&amp;INDEX(IP_MAIN_START_DATE,MATCH(H8,IP_MAIN_LIST_IP_ID,0))&amp;"-"&amp;INDEX(IP_MAIN_END_DATE,MATCH(H8,IP_MAIN_LIST_IP_ID,0))&amp;")"</f>
        <v>#N/A</v>
      </c>
      <c r="I11" s="1238"/>
      <c r="J11" s="1238"/>
      <c r="K11" s="600"/>
      <c r="W11" s="17">
        <v>24</v>
      </c>
    </row>
    <row r="12" spans="5:23" ht="10.5" customHeight="1">
      <c r="F12" s="1237"/>
      <c r="G12" s="1239"/>
      <c r="H12" s="138" t="s">
        <v>1020</v>
      </c>
      <c r="I12" s="601"/>
      <c r="J12" s="138"/>
      <c r="K12" s="602"/>
      <c r="W12" s="17">
        <v>10</v>
      </c>
    </row>
    <row r="13" spans="5:23" ht="10.5" hidden="1" customHeight="1">
      <c r="F13" s="138">
        <v>1</v>
      </c>
      <c r="G13" s="138">
        <v>2</v>
      </c>
      <c r="H13" s="138">
        <v>3</v>
      </c>
      <c r="I13" s="138">
        <v>4</v>
      </c>
      <c r="J13" s="138">
        <v>5</v>
      </c>
      <c r="K13" s="602"/>
      <c r="W13" s="17">
        <v>0</v>
      </c>
    </row>
    <row r="14" spans="5:23" ht="11.45" customHeight="1">
      <c r="F14" s="259" t="s">
        <v>1021</v>
      </c>
      <c r="G14" s="1233" t="s">
        <v>1022</v>
      </c>
      <c r="H14" s="1233"/>
      <c r="I14" s="1233"/>
      <c r="J14" s="1233"/>
      <c r="K14" s="602"/>
      <c r="W14" s="17">
        <v>11</v>
      </c>
    </row>
    <row r="15" spans="5:23" ht="11.45" customHeight="1">
      <c r="F15" s="138">
        <v>1</v>
      </c>
      <c r="G15" s="219" t="s">
        <v>1023</v>
      </c>
      <c r="H15" s="603">
        <f t="shared" ref="H15:H36" si="0">SUM(I15:J15)</f>
        <v>0</v>
      </c>
      <c r="I15" s="603">
        <f>SUM(I16:I27)</f>
        <v>0</v>
      </c>
      <c r="J15" s="259"/>
      <c r="K15" s="602"/>
      <c r="W15" s="17">
        <v>11</v>
      </c>
    </row>
    <row r="16" spans="5:23" ht="24" customHeight="1">
      <c r="F16" s="138" t="s">
        <v>1024</v>
      </c>
      <c r="G16" s="541" t="s">
        <v>1025</v>
      </c>
      <c r="H16" s="603">
        <f t="shared" si="0"/>
        <v>0</v>
      </c>
      <c r="I16" s="604"/>
      <c r="J16" s="259"/>
      <c r="K16" s="602"/>
      <c r="W16" s="17">
        <v>23</v>
      </c>
    </row>
    <row r="17" spans="6:23" ht="24" customHeight="1">
      <c r="F17" s="138" t="s">
        <v>1026</v>
      </c>
      <c r="G17" s="541" t="s">
        <v>1027</v>
      </c>
      <c r="H17" s="603">
        <f t="shared" si="0"/>
        <v>0</v>
      </c>
      <c r="I17" s="604"/>
      <c r="J17" s="259"/>
      <c r="K17" s="602"/>
      <c r="W17" s="17">
        <v>23</v>
      </c>
    </row>
    <row r="18" spans="6:23" ht="35.65" customHeight="1">
      <c r="F18" s="138" t="s">
        <v>1028</v>
      </c>
      <c r="G18" s="541" t="s">
        <v>1029</v>
      </c>
      <c r="H18" s="603">
        <f t="shared" si="0"/>
        <v>0</v>
      </c>
      <c r="I18" s="604"/>
      <c r="J18" s="259"/>
      <c r="K18" s="602"/>
      <c r="W18" s="17">
        <v>34</v>
      </c>
    </row>
    <row r="19" spans="6:23" ht="35.65" customHeight="1">
      <c r="F19" s="138" t="s">
        <v>1030</v>
      </c>
      <c r="G19" s="541" t="s">
        <v>1031</v>
      </c>
      <c r="H19" s="603">
        <f t="shared" si="0"/>
        <v>0</v>
      </c>
      <c r="I19" s="604"/>
      <c r="J19" s="259"/>
      <c r="K19" s="602"/>
      <c r="W19" s="17">
        <v>34</v>
      </c>
    </row>
    <row r="20" spans="6:23" ht="48.2" customHeight="1">
      <c r="F20" s="138" t="s">
        <v>1032</v>
      </c>
      <c r="G20" s="541" t="s">
        <v>1033</v>
      </c>
      <c r="H20" s="603">
        <f t="shared" si="0"/>
        <v>0</v>
      </c>
      <c r="I20" s="604"/>
      <c r="J20" s="259"/>
      <c r="K20" s="602"/>
      <c r="W20" s="17">
        <v>46</v>
      </c>
    </row>
    <row r="21" spans="6:23" ht="35.65" customHeight="1">
      <c r="F21" s="138" t="s">
        <v>1034</v>
      </c>
      <c r="G21" s="541" t="s">
        <v>1035</v>
      </c>
      <c r="H21" s="603">
        <f t="shared" si="0"/>
        <v>0</v>
      </c>
      <c r="I21" s="604"/>
      <c r="J21" s="259"/>
      <c r="K21" s="602"/>
      <c r="W21" s="17">
        <v>34</v>
      </c>
    </row>
    <row r="22" spans="6:23" ht="35.65" customHeight="1">
      <c r="F22" s="138" t="s">
        <v>1036</v>
      </c>
      <c r="G22" s="541" t="s">
        <v>1037</v>
      </c>
      <c r="H22" s="603">
        <f t="shared" si="0"/>
        <v>0</v>
      </c>
      <c r="I22" s="604"/>
      <c r="J22" s="259"/>
      <c r="K22" s="602"/>
      <c r="W22" s="17">
        <v>34</v>
      </c>
    </row>
    <row r="23" spans="6:23" ht="24" customHeight="1">
      <c r="F23" s="138" t="s">
        <v>1038</v>
      </c>
      <c r="G23" s="541" t="s">
        <v>1039</v>
      </c>
      <c r="H23" s="603">
        <f t="shared" si="0"/>
        <v>0</v>
      </c>
      <c r="I23" s="604"/>
      <c r="J23" s="259"/>
      <c r="K23" s="602"/>
      <c r="W23" s="17">
        <v>23</v>
      </c>
    </row>
    <row r="24" spans="6:23" ht="24" customHeight="1">
      <c r="F24" s="138" t="s">
        <v>1040</v>
      </c>
      <c r="G24" s="541" t="s">
        <v>1041</v>
      </c>
      <c r="H24" s="603">
        <f t="shared" si="0"/>
        <v>0</v>
      </c>
      <c r="I24" s="604"/>
      <c r="J24" s="259"/>
      <c r="K24" s="602"/>
      <c r="W24" s="17">
        <v>23</v>
      </c>
    </row>
    <row r="25" spans="6:23" ht="35.65" customHeight="1">
      <c r="F25" s="138" t="s">
        <v>1042</v>
      </c>
      <c r="G25" s="541" t="s">
        <v>1043</v>
      </c>
      <c r="H25" s="603">
        <f t="shared" si="0"/>
        <v>0</v>
      </c>
      <c r="I25" s="604"/>
      <c r="J25" s="259"/>
      <c r="K25" s="602"/>
      <c r="W25" s="17">
        <v>34</v>
      </c>
    </row>
    <row r="26" spans="6:23" ht="35.65" customHeight="1">
      <c r="F26" s="138" t="s">
        <v>1044</v>
      </c>
      <c r="G26" s="541" t="s">
        <v>1045</v>
      </c>
      <c r="H26" s="603">
        <f t="shared" si="0"/>
        <v>0</v>
      </c>
      <c r="I26" s="604"/>
      <c r="J26" s="259"/>
      <c r="K26" s="602"/>
      <c r="W26" s="17">
        <v>34</v>
      </c>
    </row>
    <row r="27" spans="6:23" ht="11.45" customHeight="1">
      <c r="F27" s="138" t="s">
        <v>1046</v>
      </c>
      <c r="G27" s="541" t="s">
        <v>1047</v>
      </c>
      <c r="H27" s="603">
        <f t="shared" si="0"/>
        <v>0</v>
      </c>
      <c r="I27" s="604"/>
      <c r="J27" s="259"/>
      <c r="K27" s="602"/>
      <c r="W27" s="17">
        <v>11</v>
      </c>
    </row>
    <row r="28" spans="6:23" ht="11.45" customHeight="1">
      <c r="F28" s="138">
        <v>2</v>
      </c>
      <c r="G28" s="219" t="s">
        <v>1048</v>
      </c>
      <c r="H28" s="603">
        <f t="shared" si="0"/>
        <v>0</v>
      </c>
      <c r="I28" s="603">
        <f>SUM(I29:I31)</f>
        <v>0</v>
      </c>
      <c r="J28" s="259"/>
      <c r="K28" s="602"/>
      <c r="W28" s="17">
        <v>11</v>
      </c>
    </row>
    <row r="29" spans="6:23" ht="11.45" customHeight="1">
      <c r="F29" s="138" t="s">
        <v>710</v>
      </c>
      <c r="G29" s="541" t="s">
        <v>1049</v>
      </c>
      <c r="H29" s="603">
        <f t="shared" si="0"/>
        <v>0</v>
      </c>
      <c r="I29" s="604"/>
      <c r="J29" s="259"/>
      <c r="K29" s="602"/>
      <c r="W29" s="17">
        <v>11</v>
      </c>
    </row>
    <row r="30" spans="6:23" ht="11.45" customHeight="1">
      <c r="F30" s="138" t="s">
        <v>308</v>
      </c>
      <c r="G30" s="541" t="s">
        <v>1050</v>
      </c>
      <c r="H30" s="603">
        <f t="shared" si="0"/>
        <v>0</v>
      </c>
      <c r="I30" s="604"/>
      <c r="J30" s="259"/>
      <c r="K30" s="602"/>
      <c r="W30" s="17">
        <v>11</v>
      </c>
    </row>
    <row r="31" spans="6:23" ht="11.45" customHeight="1">
      <c r="F31" s="138" t="s">
        <v>311</v>
      </c>
      <c r="G31" s="541" t="s">
        <v>1051</v>
      </c>
      <c r="H31" s="603">
        <f t="shared" si="0"/>
        <v>0</v>
      </c>
      <c r="I31" s="604"/>
      <c r="J31" s="259"/>
      <c r="K31" s="602"/>
      <c r="W31" s="17">
        <v>11</v>
      </c>
    </row>
    <row r="32" spans="6:23" ht="11.45" customHeight="1">
      <c r="F32" s="138">
        <v>3</v>
      </c>
      <c r="G32" s="219" t="s">
        <v>1052</v>
      </c>
      <c r="H32" s="603">
        <f t="shared" si="0"/>
        <v>0</v>
      </c>
      <c r="I32" s="603">
        <f>SUM(I33:I34)</f>
        <v>0</v>
      </c>
      <c r="J32" s="259"/>
      <c r="K32" s="602"/>
      <c r="W32" s="17">
        <v>11</v>
      </c>
    </row>
    <row r="33" spans="6:23" ht="48.2" customHeight="1">
      <c r="F33" s="138" t="s">
        <v>325</v>
      </c>
      <c r="G33" s="541" t="s">
        <v>1053</v>
      </c>
      <c r="H33" s="603">
        <f t="shared" si="0"/>
        <v>0</v>
      </c>
      <c r="I33" s="604"/>
      <c r="J33" s="259"/>
      <c r="K33" s="602"/>
      <c r="W33" s="17">
        <v>46</v>
      </c>
    </row>
    <row r="34" spans="6:23" ht="11.45" customHeight="1">
      <c r="F34" s="138" t="s">
        <v>333</v>
      </c>
      <c r="G34" s="541" t="s">
        <v>1054</v>
      </c>
      <c r="H34" s="603">
        <f t="shared" si="0"/>
        <v>0</v>
      </c>
      <c r="I34" s="604"/>
      <c r="J34" s="259"/>
      <c r="K34" s="602"/>
      <c r="W34" s="17">
        <v>11</v>
      </c>
    </row>
    <row r="35" spans="6:23" ht="11.45" customHeight="1">
      <c r="F35" s="138">
        <v>4</v>
      </c>
      <c r="G35" s="219" t="s">
        <v>1055</v>
      </c>
      <c r="H35" s="603">
        <f t="shared" si="0"/>
        <v>0</v>
      </c>
      <c r="I35" s="604"/>
      <c r="J35" s="259"/>
      <c r="K35" s="602"/>
      <c r="W35" s="17">
        <v>11</v>
      </c>
    </row>
    <row r="36" spans="6:23" ht="11.45" customHeight="1">
      <c r="F36" s="138"/>
      <c r="G36" s="542" t="s">
        <v>1056</v>
      </c>
      <c r="H36" s="603">
        <f t="shared" si="0"/>
        <v>0</v>
      </c>
      <c r="I36" s="603">
        <f>SUM(I15,I28,I32,I35)</f>
        <v>0</v>
      </c>
      <c r="J36" s="259"/>
      <c r="K36" s="602"/>
      <c r="W36" s="17">
        <v>11</v>
      </c>
    </row>
    <row r="37" spans="6:23" ht="29.25" customHeight="1">
      <c r="F37" s="259" t="s">
        <v>1057</v>
      </c>
      <c r="G37" s="1234" t="s">
        <v>1058</v>
      </c>
      <c r="H37" s="1234"/>
      <c r="I37" s="1234"/>
      <c r="J37" s="1234"/>
      <c r="K37" s="602"/>
      <c r="W37" s="17">
        <v>28</v>
      </c>
    </row>
    <row r="38" spans="6:23" ht="24" customHeight="1">
      <c r="F38" s="138" t="s">
        <v>110</v>
      </c>
      <c r="G38" s="219" t="s">
        <v>1059</v>
      </c>
      <c r="H38" s="603">
        <f t="shared" ref="H38:H58" si="1">SUM(I38:J38)</f>
        <v>0</v>
      </c>
      <c r="I38" s="603">
        <f>SUM(I39,I44,I47)</f>
        <v>0</v>
      </c>
      <c r="J38" s="259"/>
      <c r="K38" s="602"/>
      <c r="W38" s="17">
        <v>23</v>
      </c>
    </row>
    <row r="39" spans="6:23" ht="11.45" customHeight="1">
      <c r="F39" s="138" t="s">
        <v>1024</v>
      </c>
      <c r="G39" s="541" t="s">
        <v>1023</v>
      </c>
      <c r="H39" s="603">
        <f t="shared" si="1"/>
        <v>0</v>
      </c>
      <c r="I39" s="603">
        <f>SUM(I40:I43)</f>
        <v>0</v>
      </c>
      <c r="J39" s="259"/>
      <c r="K39" s="602"/>
      <c r="W39" s="17">
        <v>11</v>
      </c>
    </row>
    <row r="40" spans="6:23" ht="24" customHeight="1">
      <c r="F40" s="138" t="s">
        <v>1060</v>
      </c>
      <c r="G40" s="605" t="s">
        <v>1061</v>
      </c>
      <c r="H40" s="603">
        <f t="shared" si="1"/>
        <v>0</v>
      </c>
      <c r="I40" s="604"/>
      <c r="J40" s="259"/>
      <c r="K40" s="602"/>
      <c r="W40" s="17">
        <v>23</v>
      </c>
    </row>
    <row r="41" spans="6:23" ht="11.45" customHeight="1">
      <c r="F41" s="138" t="s">
        <v>1062</v>
      </c>
      <c r="G41" s="605" t="s">
        <v>1063</v>
      </c>
      <c r="H41" s="603">
        <f t="shared" si="1"/>
        <v>0</v>
      </c>
      <c r="I41" s="604"/>
      <c r="J41" s="259"/>
      <c r="K41" s="602"/>
      <c r="W41" s="17">
        <v>11</v>
      </c>
    </row>
    <row r="42" spans="6:23" ht="11.45" customHeight="1">
      <c r="F42" s="138" t="s">
        <v>1064</v>
      </c>
      <c r="G42" s="605" t="s">
        <v>1065</v>
      </c>
      <c r="H42" s="603">
        <f t="shared" si="1"/>
        <v>0</v>
      </c>
      <c r="I42" s="604"/>
      <c r="J42" s="259"/>
      <c r="K42" s="602"/>
      <c r="W42" s="17">
        <v>11</v>
      </c>
    </row>
    <row r="43" spans="6:23" ht="35.65" customHeight="1">
      <c r="F43" s="138" t="s">
        <v>1066</v>
      </c>
      <c r="G43" s="605" t="s">
        <v>1067</v>
      </c>
      <c r="H43" s="603">
        <f t="shared" si="1"/>
        <v>0</v>
      </c>
      <c r="I43" s="604"/>
      <c r="J43" s="259"/>
      <c r="K43" s="602"/>
      <c r="W43" s="17">
        <v>34</v>
      </c>
    </row>
    <row r="44" spans="6:23" ht="11.45" customHeight="1">
      <c r="F44" s="138" t="s">
        <v>1026</v>
      </c>
      <c r="G44" s="541" t="s">
        <v>1052</v>
      </c>
      <c r="H44" s="603">
        <f t="shared" si="1"/>
        <v>0</v>
      </c>
      <c r="I44" s="603">
        <f>SUM(I45:I46)</f>
        <v>0</v>
      </c>
      <c r="J44" s="259"/>
      <c r="K44" s="602"/>
      <c r="W44" s="17">
        <v>11</v>
      </c>
    </row>
    <row r="45" spans="6:23" ht="48.2" customHeight="1">
      <c r="F45" s="138" t="s">
        <v>1068</v>
      </c>
      <c r="G45" s="605" t="s">
        <v>1053</v>
      </c>
      <c r="H45" s="603">
        <f t="shared" si="1"/>
        <v>0</v>
      </c>
      <c r="I45" s="604"/>
      <c r="J45" s="259"/>
      <c r="K45" s="602"/>
      <c r="W45" s="17">
        <v>46</v>
      </c>
    </row>
    <row r="46" spans="6:23" ht="11.45" customHeight="1">
      <c r="F46" s="138" t="s">
        <v>1069</v>
      </c>
      <c r="G46" s="605" t="s">
        <v>1054</v>
      </c>
      <c r="H46" s="603">
        <f t="shared" si="1"/>
        <v>0</v>
      </c>
      <c r="I46" s="604"/>
      <c r="J46" s="259"/>
      <c r="K46" s="602"/>
      <c r="W46" s="17">
        <v>11</v>
      </c>
    </row>
    <row r="47" spans="6:23" ht="11.45" customHeight="1">
      <c r="F47" s="138" t="s">
        <v>1028</v>
      </c>
      <c r="G47" s="541" t="s">
        <v>1070</v>
      </c>
      <c r="H47" s="603">
        <f t="shared" si="1"/>
        <v>0</v>
      </c>
      <c r="I47" s="604"/>
      <c r="J47" s="259"/>
      <c r="K47" s="602"/>
      <c r="W47" s="17">
        <v>11</v>
      </c>
    </row>
    <row r="48" spans="6:23" ht="24" customHeight="1">
      <c r="F48" s="138" t="s">
        <v>111</v>
      </c>
      <c r="G48" s="219" t="s">
        <v>1071</v>
      </c>
      <c r="H48" s="603">
        <f t="shared" si="1"/>
        <v>0</v>
      </c>
      <c r="I48" s="603">
        <f>SUM(I49,I54,I57)</f>
        <v>0</v>
      </c>
      <c r="J48" s="259"/>
      <c r="K48" s="602"/>
      <c r="W48" s="17">
        <v>23</v>
      </c>
    </row>
    <row r="49" spans="1:23" ht="11.45" customHeight="1">
      <c r="F49" s="138" t="s">
        <v>710</v>
      </c>
      <c r="G49" s="541" t="s">
        <v>1023</v>
      </c>
      <c r="H49" s="603">
        <f t="shared" si="1"/>
        <v>0</v>
      </c>
      <c r="I49" s="603">
        <f>SUM(I50:I53)</f>
        <v>0</v>
      </c>
      <c r="J49" s="259"/>
      <c r="K49" s="602"/>
      <c r="W49" s="17">
        <v>11</v>
      </c>
    </row>
    <row r="50" spans="1:23" ht="24" customHeight="1">
      <c r="F50" s="138" t="s">
        <v>713</v>
      </c>
      <c r="G50" s="605" t="s">
        <v>1061</v>
      </c>
      <c r="H50" s="603">
        <f t="shared" si="1"/>
        <v>0</v>
      </c>
      <c r="I50" s="604"/>
      <c r="J50" s="259"/>
      <c r="K50" s="602"/>
      <c r="W50" s="17">
        <v>23</v>
      </c>
    </row>
    <row r="51" spans="1:23" ht="11.45" customHeight="1">
      <c r="F51" s="138" t="s">
        <v>716</v>
      </c>
      <c r="G51" s="605" t="s">
        <v>1063</v>
      </c>
      <c r="H51" s="603">
        <f t="shared" si="1"/>
        <v>0</v>
      </c>
      <c r="I51" s="604"/>
      <c r="J51" s="259"/>
      <c r="K51" s="602"/>
      <c r="W51" s="17">
        <v>11</v>
      </c>
    </row>
    <row r="52" spans="1:23" ht="11.45" customHeight="1">
      <c r="F52" s="138" t="s">
        <v>1072</v>
      </c>
      <c r="G52" s="605" t="s">
        <v>1065</v>
      </c>
      <c r="H52" s="603">
        <f t="shared" si="1"/>
        <v>0</v>
      </c>
      <c r="I52" s="604"/>
      <c r="J52" s="259"/>
      <c r="K52" s="602"/>
      <c r="W52" s="17">
        <v>11</v>
      </c>
    </row>
    <row r="53" spans="1:23" ht="35.65" customHeight="1">
      <c r="F53" s="138" t="s">
        <v>1073</v>
      </c>
      <c r="G53" s="605" t="s">
        <v>1067</v>
      </c>
      <c r="H53" s="603">
        <f t="shared" si="1"/>
        <v>0</v>
      </c>
      <c r="I53" s="604"/>
      <c r="J53" s="259"/>
      <c r="K53" s="602"/>
      <c r="W53" s="17">
        <v>34</v>
      </c>
    </row>
    <row r="54" spans="1:23" ht="11.45" customHeight="1">
      <c r="F54" s="138" t="s">
        <v>308</v>
      </c>
      <c r="G54" s="541" t="s">
        <v>1052</v>
      </c>
      <c r="H54" s="603">
        <f t="shared" si="1"/>
        <v>0</v>
      </c>
      <c r="I54" s="603">
        <f>SUM(I55:I56)</f>
        <v>0</v>
      </c>
      <c r="J54" s="259"/>
      <c r="K54" s="602"/>
      <c r="W54" s="17">
        <v>11</v>
      </c>
    </row>
    <row r="55" spans="1:23" ht="48.2" customHeight="1">
      <c r="F55" s="138" t="s">
        <v>720</v>
      </c>
      <c r="G55" s="605" t="s">
        <v>1053</v>
      </c>
      <c r="H55" s="603">
        <f t="shared" si="1"/>
        <v>0</v>
      </c>
      <c r="I55" s="604"/>
      <c r="J55" s="259"/>
      <c r="K55" s="602"/>
      <c r="W55" s="17">
        <v>46</v>
      </c>
    </row>
    <row r="56" spans="1:23" ht="11.45" customHeight="1">
      <c r="F56" s="138" t="s">
        <v>722</v>
      </c>
      <c r="G56" s="605" t="s">
        <v>1054</v>
      </c>
      <c r="H56" s="603">
        <f t="shared" si="1"/>
        <v>0</v>
      </c>
      <c r="I56" s="604"/>
      <c r="J56" s="259"/>
      <c r="K56" s="602"/>
      <c r="W56" s="17">
        <v>11</v>
      </c>
    </row>
    <row r="57" spans="1:23" ht="11.45" customHeight="1">
      <c r="F57" s="138" t="s">
        <v>311</v>
      </c>
      <c r="G57" s="541" t="s">
        <v>1070</v>
      </c>
      <c r="H57" s="603">
        <f t="shared" si="1"/>
        <v>0</v>
      </c>
      <c r="I57" s="604"/>
      <c r="J57" s="259"/>
      <c r="K57" s="602"/>
      <c r="W57" s="17">
        <v>11</v>
      </c>
    </row>
    <row r="58" spans="1:23" ht="11.45" customHeight="1">
      <c r="F58" s="138"/>
      <c r="G58" s="205" t="s">
        <v>1056</v>
      </c>
      <c r="H58" s="603">
        <f t="shared" si="1"/>
        <v>0</v>
      </c>
      <c r="I58" s="603">
        <f>SUM(I38,I48)</f>
        <v>0</v>
      </c>
      <c r="J58" s="259"/>
      <c r="K58" s="602"/>
      <c r="W58" s="17">
        <v>11</v>
      </c>
    </row>
    <row r="59" spans="1:23" ht="10.5" hidden="1" customHeight="1">
      <c r="A59" s="66" t="s">
        <v>82</v>
      </c>
      <c r="B59" s="66">
        <v>0</v>
      </c>
      <c r="C59" s="66">
        <v>0</v>
      </c>
      <c r="D59" s="37">
        <v>0</v>
      </c>
      <c r="E59" s="17">
        <v>3</v>
      </c>
      <c r="F59" s="17">
        <v>6</v>
      </c>
      <c r="G59" s="17">
        <v>60</v>
      </c>
      <c r="H59" s="17">
        <v>0</v>
      </c>
      <c r="I59" s="17">
        <v>0</v>
      </c>
      <c r="J59" s="17">
        <v>0</v>
      </c>
      <c r="K59" s="17">
        <v>1</v>
      </c>
      <c r="L59" s="17">
        <v>8</v>
      </c>
      <c r="M59" s="17">
        <v>8</v>
      </c>
      <c r="N59" s="17">
        <v>8</v>
      </c>
      <c r="O59" s="17">
        <v>8</v>
      </c>
      <c r="P59" s="17">
        <v>8</v>
      </c>
      <c r="Q59" s="17">
        <v>8</v>
      </c>
      <c r="R59" s="17">
        <v>8</v>
      </c>
      <c r="S59" s="17">
        <v>8</v>
      </c>
      <c r="T59" s="17">
        <v>8</v>
      </c>
      <c r="U59" s="17">
        <v>8</v>
      </c>
      <c r="V59" s="17">
        <v>8</v>
      </c>
      <c r="W59" s="17">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0721B-F046-B219-E3ED-DFB3B335E26A}">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4" width="4.7109375" hidden="1" customWidth="1"/>
    <col min="5" max="5" width="3" customWidth="1"/>
    <col min="6" max="6" width="6" customWidth="1"/>
    <col min="7" max="7" width="18" customWidth="1"/>
    <col min="8" max="8" width="27" customWidth="1"/>
    <col min="9" max="9" width="18" customWidth="1"/>
    <col min="10" max="14" width="0.85546875" hidden="1" customWidth="1"/>
    <col min="15" max="28" width="21.7109375" customWidth="1"/>
    <col min="29" max="71" width="0.85546875" customWidth="1"/>
    <col min="72" max="79" width="21.7109375" hidden="1" customWidth="1"/>
    <col min="80" max="81" width="29.140625" hidden="1" customWidth="1"/>
    <col min="82" max="89" width="21.7109375" hidden="1" customWidth="1"/>
    <col min="90" max="102" width="0.7109375" hidden="1" customWidth="1"/>
    <col min="103" max="114" width="21.7109375" hidden="1" customWidth="1"/>
    <col min="115" max="178" width="0.7109375" hidden="1" customWidth="1"/>
    <col min="179" max="179" width="0.140625" customWidth="1"/>
    <col min="180" max="184" width="8" customWidth="1"/>
    <col min="185" max="185" width="9.140625" hidden="1"/>
  </cols>
  <sheetData>
    <row r="1" spans="5:185" ht="12" hidden="1" customHeight="1">
      <c r="GC1" s="606" t="s">
        <v>14</v>
      </c>
    </row>
    <row r="2" spans="5:185" ht="12" hidden="1" customHeight="1">
      <c r="GC2" s="606">
        <v>0</v>
      </c>
    </row>
    <row r="3" spans="5:185" ht="12" hidden="1" customHeight="1">
      <c r="GC3" s="606">
        <v>0</v>
      </c>
    </row>
    <row r="4" spans="5:185" ht="10.5" customHeight="1">
      <c r="GC4" s="607">
        <v>10</v>
      </c>
    </row>
    <row r="5" spans="5:185" ht="27.4" customHeight="1">
      <c r="E5" s="608"/>
      <c r="F5" s="126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GC5" s="609">
        <v>26</v>
      </c>
    </row>
    <row r="6" spans="5:185" ht="18.75" customHeight="1">
      <c r="E6" s="201"/>
      <c r="F6" s="1087" t="str">
        <f>IF(org=0,"Не определено",org)</f>
        <v>ООО "ТВС"</v>
      </c>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1088"/>
      <c r="BC6" s="1088"/>
      <c r="BD6" s="1088"/>
      <c r="BE6" s="1088"/>
      <c r="BF6" s="1088"/>
      <c r="BG6" s="1088"/>
      <c r="BH6" s="1088"/>
      <c r="BI6" s="1088"/>
      <c r="BJ6" s="1088"/>
      <c r="BK6" s="1088"/>
      <c r="BL6" s="1088"/>
      <c r="BM6" s="1088"/>
      <c r="BN6" s="1088"/>
      <c r="BO6" s="1088"/>
      <c r="BP6" s="1088"/>
      <c r="BQ6" s="1088"/>
      <c r="BR6" s="1088"/>
      <c r="BS6" s="1088"/>
      <c r="GC6" s="610">
        <v>18</v>
      </c>
    </row>
    <row r="7" spans="5:185" ht="10.5" customHeight="1">
      <c r="GC7" s="611">
        <v>10</v>
      </c>
    </row>
    <row r="8" spans="5:185" ht="11.25" hidden="1" customHeight="1">
      <c r="O8" s="1249" t="s">
        <v>1074</v>
      </c>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0"/>
      <c r="AQ8" s="1250"/>
      <c r="AR8" s="1250"/>
      <c r="AS8" s="1250"/>
      <c r="AT8" s="1250"/>
      <c r="AU8" s="1250"/>
      <c r="AV8" s="1250"/>
      <c r="AW8" s="1250"/>
      <c r="AX8" s="1250"/>
      <c r="AY8" s="1250"/>
      <c r="AZ8" s="1250"/>
      <c r="BA8" s="1250"/>
      <c r="BB8" s="1250"/>
      <c r="BC8" s="1250"/>
      <c r="BD8" s="1250"/>
      <c r="BE8" s="1250"/>
      <c r="BF8" s="1250"/>
      <c r="BG8" s="1250"/>
      <c r="BH8" s="1250"/>
      <c r="BI8" s="1250"/>
      <c r="BJ8" s="1250"/>
      <c r="BK8" s="1250"/>
      <c r="BL8" s="1250"/>
      <c r="BM8" s="1250"/>
      <c r="BN8" s="1250"/>
      <c r="BO8" s="1250"/>
      <c r="BP8" s="1250"/>
      <c r="BQ8" s="1250"/>
      <c r="BR8" s="1250"/>
      <c r="BS8" s="1251"/>
      <c r="BT8" s="1252"/>
      <c r="BU8" s="1253"/>
      <c r="BV8" s="1253"/>
      <c r="BW8" s="1253"/>
      <c r="BX8" s="1253"/>
      <c r="BY8" s="1253"/>
      <c r="BZ8" s="1253"/>
      <c r="CA8" s="1253"/>
      <c r="CB8" s="1253"/>
      <c r="CC8" s="1253"/>
      <c r="CD8" s="1253"/>
      <c r="CE8" s="1253"/>
      <c r="CF8" s="1253"/>
      <c r="CG8" s="1253"/>
      <c r="CH8" s="1253"/>
      <c r="CI8" s="1253"/>
      <c r="CJ8" s="1253"/>
      <c r="CK8" s="1253"/>
      <c r="CL8" s="1253"/>
      <c r="CM8" s="1253"/>
      <c r="CN8" s="1253"/>
      <c r="CO8" s="1253"/>
      <c r="CP8" s="1253"/>
      <c r="CQ8" s="1253"/>
      <c r="CR8" s="1253"/>
      <c r="CS8" s="1253"/>
      <c r="CT8" s="1253"/>
      <c r="CU8" s="1253"/>
      <c r="CV8" s="1253"/>
      <c r="CW8" s="1253"/>
      <c r="CX8" s="1254"/>
      <c r="CY8" s="1255"/>
      <c r="CZ8" s="1256"/>
      <c r="DA8" s="1256"/>
      <c r="DB8" s="1256"/>
      <c r="DC8" s="1256"/>
      <c r="DD8" s="1256"/>
      <c r="DE8" s="1256"/>
      <c r="DF8" s="1256"/>
      <c r="DG8" s="1256"/>
      <c r="DH8" s="1256"/>
      <c r="DI8" s="1256"/>
      <c r="DJ8" s="1256"/>
      <c r="DK8" s="1256"/>
      <c r="DL8" s="1256"/>
      <c r="DM8" s="1256"/>
      <c r="DN8" s="1256"/>
      <c r="DO8" s="1256"/>
      <c r="DP8" s="1256"/>
      <c r="DQ8" s="1256"/>
      <c r="DR8" s="1256"/>
      <c r="DS8" s="1256"/>
      <c r="DT8" s="1256"/>
      <c r="DU8" s="1256"/>
      <c r="DV8" s="1256"/>
      <c r="DW8" s="1256"/>
      <c r="DX8" s="1257"/>
      <c r="DY8" s="1243" t="s">
        <v>1075</v>
      </c>
      <c r="DZ8" s="1244"/>
      <c r="EA8" s="1244"/>
      <c r="EB8" s="1244"/>
      <c r="EC8" s="1244"/>
      <c r="ED8" s="1244"/>
      <c r="EE8" s="1244"/>
      <c r="EF8" s="1244"/>
      <c r="EG8" s="1244"/>
      <c r="EH8" s="1244"/>
      <c r="EI8" s="1244"/>
      <c r="EJ8" s="1244"/>
      <c r="EK8" s="1244"/>
      <c r="EL8" s="1244"/>
      <c r="EM8" s="1244"/>
      <c r="EN8" s="1244"/>
      <c r="EO8" s="1244"/>
      <c r="EP8" s="1244"/>
      <c r="EQ8" s="1244"/>
      <c r="ER8" s="1244"/>
      <c r="ES8" s="1244"/>
      <c r="ET8" s="1244"/>
      <c r="EU8" s="1244"/>
      <c r="EV8" s="1244"/>
      <c r="EW8" s="1244"/>
      <c r="EX8" s="1244"/>
      <c r="EY8" s="1244"/>
      <c r="EZ8" s="1244"/>
      <c r="FA8" s="1244"/>
      <c r="FB8" s="1244"/>
      <c r="FC8" s="1244"/>
      <c r="FD8" s="1244"/>
      <c r="FE8" s="1244"/>
      <c r="FF8" s="1244"/>
      <c r="FG8" s="1244"/>
      <c r="FH8" s="1244"/>
      <c r="FI8" s="1244"/>
      <c r="FJ8" s="1244"/>
      <c r="FK8" s="1244"/>
      <c r="FL8" s="1244"/>
      <c r="FM8" s="1244"/>
      <c r="FN8" s="1244"/>
      <c r="FO8" s="1244"/>
      <c r="FP8" s="1244"/>
      <c r="FQ8" s="1244"/>
      <c r="FR8" s="1244"/>
      <c r="FS8" s="1244"/>
      <c r="FT8" s="1244"/>
      <c r="FU8" s="1244"/>
      <c r="FV8" s="1244"/>
      <c r="FW8" s="1245"/>
      <c r="GC8" s="611">
        <v>0</v>
      </c>
    </row>
    <row r="9" spans="5:185" ht="11.25" hidden="1" customHeight="1">
      <c r="FW9" s="1246"/>
      <c r="GC9" s="611">
        <v>0</v>
      </c>
    </row>
    <row r="10" spans="5:185" ht="11.45" customHeight="1">
      <c r="F10" s="1223" t="s">
        <v>301</v>
      </c>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259"/>
      <c r="AV10" s="1259"/>
      <c r="AW10" s="1259"/>
      <c r="AX10" s="1259"/>
      <c r="AY10" s="1259"/>
      <c r="AZ10" s="1259"/>
      <c r="BA10" s="1259"/>
      <c r="BB10" s="1259"/>
      <c r="BC10" s="1259"/>
      <c r="BD10" s="1259"/>
      <c r="BE10" s="1259"/>
      <c r="BF10" s="1259"/>
      <c r="BG10" s="1259"/>
      <c r="BH10" s="1259"/>
      <c r="BI10" s="1259"/>
      <c r="BJ10" s="1259"/>
      <c r="BK10" s="1259"/>
      <c r="BL10" s="1259"/>
      <c r="BM10" s="1259"/>
      <c r="BN10" s="1259"/>
      <c r="BO10" s="1259"/>
      <c r="BP10" s="1259"/>
      <c r="BQ10" s="1259"/>
      <c r="BR10" s="1259"/>
      <c r="BS10" s="1259"/>
      <c r="BT10" s="1259"/>
      <c r="BU10" s="1259"/>
      <c r="BV10" s="1259"/>
      <c r="BW10" s="1259"/>
      <c r="BX10" s="1259"/>
      <c r="BY10" s="1259"/>
      <c r="BZ10" s="1259"/>
      <c r="CA10" s="1259"/>
      <c r="CB10" s="1259"/>
      <c r="CC10" s="1259"/>
      <c r="CD10" s="1259"/>
      <c r="CE10" s="1259"/>
      <c r="CF10" s="1259"/>
      <c r="CG10" s="1259"/>
      <c r="CH10" s="1259"/>
      <c r="CI10" s="1259"/>
      <c r="CJ10" s="1259"/>
      <c r="CK10" s="1259"/>
      <c r="CL10" s="1259"/>
      <c r="CM10" s="1259"/>
      <c r="CN10" s="1259"/>
      <c r="CO10" s="1259"/>
      <c r="CP10" s="1259"/>
      <c r="CQ10" s="1259"/>
      <c r="CR10" s="1259"/>
      <c r="CS10" s="1259"/>
      <c r="CT10" s="1259"/>
      <c r="CU10" s="1259"/>
      <c r="CV10" s="1259"/>
      <c r="CW10" s="1259"/>
      <c r="CX10" s="1259"/>
      <c r="CY10" s="1259"/>
      <c r="CZ10" s="1259"/>
      <c r="DA10" s="1259"/>
      <c r="DB10" s="1259"/>
      <c r="DC10" s="1259"/>
      <c r="DD10" s="1259"/>
      <c r="DE10" s="1259"/>
      <c r="DF10" s="1259"/>
      <c r="DG10" s="1259"/>
      <c r="DH10" s="1259"/>
      <c r="DI10" s="1259"/>
      <c r="DJ10" s="1259"/>
      <c r="DK10" s="1259"/>
      <c r="DL10" s="1259"/>
      <c r="DM10" s="1259"/>
      <c r="DN10" s="1259"/>
      <c r="DO10" s="1259"/>
      <c r="DP10" s="1259"/>
      <c r="DQ10" s="1259"/>
      <c r="DR10" s="1259"/>
      <c r="DS10" s="1259"/>
      <c r="DT10" s="1259"/>
      <c r="DU10" s="1259"/>
      <c r="DV10" s="1259"/>
      <c r="DW10" s="1259"/>
      <c r="DX10" s="1259"/>
      <c r="DY10" s="1259"/>
      <c r="DZ10" s="1259"/>
      <c r="EA10" s="1259"/>
      <c r="EB10" s="1259"/>
      <c r="EC10" s="1259"/>
      <c r="ED10" s="1259"/>
      <c r="EE10" s="1259"/>
      <c r="EF10" s="1259"/>
      <c r="EG10" s="1259"/>
      <c r="EH10" s="1259"/>
      <c r="EI10" s="1259"/>
      <c r="EJ10" s="1259"/>
      <c r="EK10" s="1259"/>
      <c r="EL10" s="1259"/>
      <c r="EM10" s="1259"/>
      <c r="EN10" s="1259"/>
      <c r="EO10" s="1259"/>
      <c r="EP10" s="1259"/>
      <c r="EQ10" s="1259"/>
      <c r="ER10" s="1259"/>
      <c r="ES10" s="1259"/>
      <c r="ET10" s="1259"/>
      <c r="EU10" s="1259"/>
      <c r="EV10" s="1259"/>
      <c r="EW10" s="1259"/>
      <c r="EX10" s="1259"/>
      <c r="EY10" s="1259"/>
      <c r="EZ10" s="1259"/>
      <c r="FA10" s="1259"/>
      <c r="FB10" s="1259"/>
      <c r="FC10" s="1259"/>
      <c r="FD10" s="1259"/>
      <c r="FE10" s="1259"/>
      <c r="FF10" s="1259"/>
      <c r="FG10" s="1259"/>
      <c r="FH10" s="1259"/>
      <c r="FI10" s="1259"/>
      <c r="FJ10" s="1259"/>
      <c r="FK10" s="1259"/>
      <c r="FL10" s="1259"/>
      <c r="FM10" s="1259"/>
      <c r="FN10" s="1259"/>
      <c r="FO10" s="1259"/>
      <c r="FP10" s="1259"/>
      <c r="FQ10" s="1259"/>
      <c r="FR10" s="1259"/>
      <c r="FS10" s="1259"/>
      <c r="FT10" s="1259"/>
      <c r="FU10" s="1259"/>
      <c r="FV10" s="1260"/>
      <c r="FW10" s="1246"/>
      <c r="GC10" s="611">
        <v>11</v>
      </c>
    </row>
    <row r="11" spans="5:185" ht="12.75" customHeight="1">
      <c r="E11" s="613"/>
      <c r="F11" s="1069" t="s">
        <v>88</v>
      </c>
      <c r="G11" s="1069" t="s">
        <v>1076</v>
      </c>
      <c r="H11" s="1069" t="s">
        <v>1077</v>
      </c>
      <c r="I11" s="1069" t="s">
        <v>1078</v>
      </c>
      <c r="J11" s="1258"/>
      <c r="K11" s="1258"/>
      <c r="L11" s="1258"/>
      <c r="M11" s="1258"/>
      <c r="N11" s="1258"/>
      <c r="O11" s="1073" t="s">
        <v>1079</v>
      </c>
      <c r="P11" s="1073"/>
      <c r="Q11" s="1073"/>
      <c r="R11" s="1073"/>
      <c r="S11" s="1073"/>
      <c r="T11" s="1073"/>
      <c r="U11" s="1073"/>
      <c r="V11" s="1073"/>
      <c r="W11" s="1073"/>
      <c r="X11" s="1073"/>
      <c r="Y11" s="1073"/>
      <c r="Z11" s="1073"/>
      <c r="AA11" s="1073"/>
      <c r="AB11" s="1073"/>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2"/>
      <c r="BT11" s="1209" t="s">
        <v>1079</v>
      </c>
      <c r="BU11" s="1210"/>
      <c r="BV11" s="1210"/>
      <c r="BW11" s="1210"/>
      <c r="BX11" s="1210"/>
      <c r="BY11" s="1210"/>
      <c r="BZ11" s="1210"/>
      <c r="CA11" s="1210"/>
      <c r="CB11" s="1210"/>
      <c r="CC11" s="1210"/>
      <c r="CD11" s="1210"/>
      <c r="CE11" s="1210"/>
      <c r="CF11" s="1210"/>
      <c r="CG11" s="1210"/>
      <c r="CH11" s="1210"/>
      <c r="CI11" s="1210"/>
      <c r="CJ11" s="1210"/>
      <c r="CK11" s="1240"/>
      <c r="CL11" s="1248"/>
      <c r="CM11" s="1241"/>
      <c r="CN11" s="1241"/>
      <c r="CO11" s="1241"/>
      <c r="CP11" s="1241"/>
      <c r="CQ11" s="1241"/>
      <c r="CR11" s="1241"/>
      <c r="CS11" s="1241"/>
      <c r="CT11" s="1241"/>
      <c r="CU11" s="1241"/>
      <c r="CV11" s="1241"/>
      <c r="CW11" s="1241"/>
      <c r="CX11" s="1242"/>
      <c r="CY11" s="1209" t="s">
        <v>1079</v>
      </c>
      <c r="CZ11" s="1210"/>
      <c r="DA11" s="1210"/>
      <c r="DB11" s="1210"/>
      <c r="DC11" s="1210"/>
      <c r="DD11" s="1210"/>
      <c r="DE11" s="1210"/>
      <c r="DF11" s="1210"/>
      <c r="DG11" s="1210"/>
      <c r="DH11" s="1210"/>
      <c r="DI11" s="1210"/>
      <c r="DJ11" s="1240"/>
      <c r="DK11" s="1248"/>
      <c r="DL11" s="1241"/>
      <c r="DM11" s="1241"/>
      <c r="DN11" s="1241"/>
      <c r="DO11" s="1241"/>
      <c r="DP11" s="1241"/>
      <c r="DQ11" s="1241"/>
      <c r="DR11" s="1241"/>
      <c r="DS11" s="1241"/>
      <c r="DT11" s="1241"/>
      <c r="DU11" s="1241"/>
      <c r="DV11" s="1241"/>
      <c r="DW11" s="1241"/>
      <c r="DX11" s="1241"/>
      <c r="DY11" s="1241"/>
      <c r="DZ11" s="1241"/>
      <c r="EA11" s="1241"/>
      <c r="EB11" s="1241"/>
      <c r="EC11" s="1241"/>
      <c r="ED11" s="1241"/>
      <c r="EE11" s="1241"/>
      <c r="EF11" s="1241"/>
      <c r="EG11" s="1241"/>
      <c r="EH11" s="1241"/>
      <c r="EI11" s="1241"/>
      <c r="EJ11" s="1241"/>
      <c r="EK11" s="1241"/>
      <c r="EL11" s="1241"/>
      <c r="EM11" s="1241"/>
      <c r="EN11" s="1241"/>
      <c r="EO11" s="1241"/>
      <c r="EP11" s="1241"/>
      <c r="EQ11" s="1241"/>
      <c r="ER11" s="1241"/>
      <c r="ES11" s="1241"/>
      <c r="ET11" s="1241"/>
      <c r="EU11" s="1241"/>
      <c r="EV11" s="1241"/>
      <c r="EW11" s="1241"/>
      <c r="EX11" s="1241"/>
      <c r="EY11" s="1241"/>
      <c r="EZ11" s="1241"/>
      <c r="FA11" s="1241"/>
      <c r="FB11" s="1241"/>
      <c r="FC11" s="1241"/>
      <c r="FD11" s="1241"/>
      <c r="FE11" s="1241"/>
      <c r="FF11" s="1241"/>
      <c r="FG11" s="1241"/>
      <c r="FH11" s="1241"/>
      <c r="FI11" s="1241"/>
      <c r="FJ11" s="1241"/>
      <c r="FK11" s="1241"/>
      <c r="FL11" s="1241"/>
      <c r="FM11" s="1241"/>
      <c r="FN11" s="1241"/>
      <c r="FO11" s="1241"/>
      <c r="FP11" s="1241"/>
      <c r="FQ11" s="1241"/>
      <c r="FR11" s="1241"/>
      <c r="FS11" s="1241"/>
      <c r="FT11" s="1241"/>
      <c r="FU11" s="1241"/>
      <c r="FV11" s="1241"/>
      <c r="FW11" s="1246"/>
      <c r="GC11" s="607">
        <v>12</v>
      </c>
    </row>
    <row r="12" spans="5:185" ht="12.75" customHeight="1">
      <c r="E12" s="613"/>
      <c r="F12" s="1069"/>
      <c r="G12" s="1069"/>
      <c r="H12" s="1069"/>
      <c r="I12" s="1069"/>
      <c r="J12" s="1258"/>
      <c r="K12" s="1258"/>
      <c r="L12" s="1258"/>
      <c r="M12" s="1258"/>
      <c r="N12" s="1258"/>
      <c r="O12" s="1073" t="s">
        <v>1080</v>
      </c>
      <c r="P12" s="1073"/>
      <c r="Q12" s="1073"/>
      <c r="R12" s="1073"/>
      <c r="S12" s="1073" t="s">
        <v>1081</v>
      </c>
      <c r="T12" s="1073"/>
      <c r="U12" s="1073"/>
      <c r="V12" s="1073"/>
      <c r="W12" s="1073"/>
      <c r="X12" s="1073"/>
      <c r="Y12" s="1073"/>
      <c r="Z12" s="1073"/>
      <c r="AA12" s="1073"/>
      <c r="AB12" s="1073"/>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2"/>
      <c r="BT12" s="1209" t="s">
        <v>1082</v>
      </c>
      <c r="BU12" s="1210"/>
      <c r="BV12" s="1210"/>
      <c r="BW12" s="1240"/>
      <c r="BX12" s="1209" t="s">
        <v>1083</v>
      </c>
      <c r="BY12" s="1210"/>
      <c r="BZ12" s="1210"/>
      <c r="CA12" s="1240"/>
      <c r="CB12" s="1209" t="s">
        <v>1084</v>
      </c>
      <c r="CC12" s="1240"/>
      <c r="CD12" s="1209" t="s">
        <v>1085</v>
      </c>
      <c r="CE12" s="1210"/>
      <c r="CF12" s="1210"/>
      <c r="CG12" s="1210"/>
      <c r="CH12" s="1210"/>
      <c r="CI12" s="1210"/>
      <c r="CJ12" s="1210"/>
      <c r="CK12" s="1240"/>
      <c r="CL12" s="1248"/>
      <c r="CM12" s="1241"/>
      <c r="CN12" s="1241"/>
      <c r="CO12" s="1241"/>
      <c r="CP12" s="1241"/>
      <c r="CQ12" s="1241"/>
      <c r="CR12" s="1241"/>
      <c r="CS12" s="1241"/>
      <c r="CT12" s="1241"/>
      <c r="CU12" s="1241"/>
      <c r="CV12" s="1241"/>
      <c r="CW12" s="1241"/>
      <c r="CX12" s="1242"/>
      <c r="CY12" s="1209" t="s">
        <v>1086</v>
      </c>
      <c r="CZ12" s="1210"/>
      <c r="DA12" s="1210"/>
      <c r="DB12" s="1210"/>
      <c r="DC12" s="1210"/>
      <c r="DD12" s="1240"/>
      <c r="DE12" s="1209" t="s">
        <v>1087</v>
      </c>
      <c r="DF12" s="1240"/>
      <c r="DG12" s="1209" t="s">
        <v>1085</v>
      </c>
      <c r="DH12" s="1210"/>
      <c r="DI12" s="1210"/>
      <c r="DJ12" s="1240"/>
      <c r="DK12" s="1248"/>
      <c r="DL12" s="1241"/>
      <c r="DM12" s="1241"/>
      <c r="DN12" s="1241"/>
      <c r="DO12" s="1241"/>
      <c r="DP12" s="1241"/>
      <c r="DQ12" s="1241"/>
      <c r="DR12" s="1241"/>
      <c r="DS12" s="1241"/>
      <c r="DT12" s="1241"/>
      <c r="DU12" s="1241"/>
      <c r="DV12" s="1241"/>
      <c r="DW12" s="1241"/>
      <c r="DX12" s="1241"/>
      <c r="DY12" s="1241"/>
      <c r="DZ12" s="1241"/>
      <c r="EA12" s="1241"/>
      <c r="EB12" s="1241"/>
      <c r="EC12" s="1241"/>
      <c r="ED12" s="1241"/>
      <c r="EE12" s="1241"/>
      <c r="EF12" s="1241"/>
      <c r="EG12" s="1241"/>
      <c r="EH12" s="1241"/>
      <c r="EI12" s="1241"/>
      <c r="EJ12" s="1241"/>
      <c r="EK12" s="1241"/>
      <c r="EL12" s="1241"/>
      <c r="EM12" s="1241"/>
      <c r="EN12" s="1241"/>
      <c r="EO12" s="1241"/>
      <c r="EP12" s="1241"/>
      <c r="EQ12" s="1241"/>
      <c r="ER12" s="1241"/>
      <c r="ES12" s="1241"/>
      <c r="ET12" s="1241"/>
      <c r="EU12" s="1241"/>
      <c r="EV12" s="1241"/>
      <c r="EW12" s="1241"/>
      <c r="EX12" s="1241"/>
      <c r="EY12" s="1241"/>
      <c r="EZ12" s="1241"/>
      <c r="FA12" s="1241"/>
      <c r="FB12" s="1241"/>
      <c r="FC12" s="1241"/>
      <c r="FD12" s="1241"/>
      <c r="FE12" s="1241"/>
      <c r="FF12" s="1241"/>
      <c r="FG12" s="1241"/>
      <c r="FH12" s="1241"/>
      <c r="FI12" s="1241"/>
      <c r="FJ12" s="1241"/>
      <c r="FK12" s="1241"/>
      <c r="FL12" s="1241"/>
      <c r="FM12" s="1241"/>
      <c r="FN12" s="1241"/>
      <c r="FO12" s="1241"/>
      <c r="FP12" s="1241"/>
      <c r="FQ12" s="1241"/>
      <c r="FR12" s="1241"/>
      <c r="FS12" s="1241"/>
      <c r="FT12" s="1241"/>
      <c r="FU12" s="1241"/>
      <c r="FV12" s="1241"/>
      <c r="FW12" s="1246"/>
      <c r="GC12" s="607">
        <v>12</v>
      </c>
    </row>
    <row r="13" spans="5:185" ht="37.9" customHeight="1">
      <c r="E13" s="613"/>
      <c r="F13" s="1069"/>
      <c r="G13" s="1069"/>
      <c r="H13" s="1069"/>
      <c r="I13" s="1069"/>
      <c r="J13" s="1258"/>
      <c r="K13" s="1258"/>
      <c r="L13" s="1258"/>
      <c r="M13" s="1258"/>
      <c r="N13" s="1258"/>
      <c r="O13" s="1073" t="s">
        <v>1088</v>
      </c>
      <c r="P13" s="1073"/>
      <c r="Q13" s="1073"/>
      <c r="R13" s="1073"/>
      <c r="S13" s="1173" t="s">
        <v>1089</v>
      </c>
      <c r="T13" s="1211"/>
      <c r="U13" s="995" t="s">
        <v>1090</v>
      </c>
      <c r="V13" s="995"/>
      <c r="W13" s="995"/>
      <c r="X13" s="995"/>
      <c r="Y13" s="995" t="s">
        <v>1091</v>
      </c>
      <c r="Z13" s="995"/>
      <c r="AA13" s="995"/>
      <c r="AB13" s="995"/>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2"/>
      <c r="BT13" s="1173" t="s">
        <v>1092</v>
      </c>
      <c r="BU13" s="1211"/>
      <c r="BV13" s="1173" t="s">
        <v>1093</v>
      </c>
      <c r="BW13" s="1211"/>
      <c r="BX13" s="1173" t="s">
        <v>1094</v>
      </c>
      <c r="BY13" s="1211"/>
      <c r="BZ13" s="1173" t="s">
        <v>1095</v>
      </c>
      <c r="CA13" s="1211"/>
      <c r="CB13" s="1173" t="s">
        <v>1096</v>
      </c>
      <c r="CC13" s="1211"/>
      <c r="CD13" s="1173" t="s">
        <v>1097</v>
      </c>
      <c r="CE13" s="1211"/>
      <c r="CF13" s="1173" t="s">
        <v>1098</v>
      </c>
      <c r="CG13" s="1211"/>
      <c r="CH13" s="1209" t="s">
        <v>1099</v>
      </c>
      <c r="CI13" s="1210"/>
      <c r="CJ13" s="1210"/>
      <c r="CK13" s="1240"/>
      <c r="CL13" s="1248"/>
      <c r="CM13" s="1241"/>
      <c r="CN13" s="1241"/>
      <c r="CO13" s="1241"/>
      <c r="CP13" s="1241"/>
      <c r="CQ13" s="1241"/>
      <c r="CR13" s="1241"/>
      <c r="CS13" s="1241"/>
      <c r="CT13" s="1241"/>
      <c r="CU13" s="1241"/>
      <c r="CV13" s="1241"/>
      <c r="CW13" s="1241"/>
      <c r="CX13" s="1242"/>
      <c r="CY13" s="1173" t="s">
        <v>1100</v>
      </c>
      <c r="CZ13" s="1211"/>
      <c r="DA13" s="1173" t="s">
        <v>1101</v>
      </c>
      <c r="DB13" s="1211"/>
      <c r="DC13" s="1173" t="s">
        <v>1102</v>
      </c>
      <c r="DD13" s="1211"/>
      <c r="DE13" s="1173" t="s">
        <v>1103</v>
      </c>
      <c r="DF13" s="1211"/>
      <c r="DG13" s="1209" t="s">
        <v>1104</v>
      </c>
      <c r="DH13" s="1210"/>
      <c r="DI13" s="1210"/>
      <c r="DJ13" s="1240"/>
      <c r="DK13" s="1248"/>
      <c r="DL13" s="1241"/>
      <c r="DM13" s="1241"/>
      <c r="DN13" s="1241"/>
      <c r="DO13" s="1241"/>
      <c r="DP13" s="1241"/>
      <c r="DQ13" s="1241"/>
      <c r="DR13" s="1241"/>
      <c r="DS13" s="1241"/>
      <c r="DT13" s="1241"/>
      <c r="DU13" s="1241"/>
      <c r="DV13" s="1241"/>
      <c r="DW13" s="1241"/>
      <c r="DX13" s="1241"/>
      <c r="DY13" s="1241"/>
      <c r="DZ13" s="1241"/>
      <c r="EA13" s="1241"/>
      <c r="EB13" s="1241"/>
      <c r="EC13" s="1241"/>
      <c r="ED13" s="1241"/>
      <c r="EE13" s="1241"/>
      <c r="EF13" s="1241"/>
      <c r="EG13" s="1241"/>
      <c r="EH13" s="1241"/>
      <c r="EI13" s="1241"/>
      <c r="EJ13" s="1241"/>
      <c r="EK13" s="1241"/>
      <c r="EL13" s="1241"/>
      <c r="EM13" s="1241"/>
      <c r="EN13" s="1241"/>
      <c r="EO13" s="1241"/>
      <c r="EP13" s="1241"/>
      <c r="EQ13" s="1241"/>
      <c r="ER13" s="1241"/>
      <c r="ES13" s="1241"/>
      <c r="ET13" s="1241"/>
      <c r="EU13" s="1241"/>
      <c r="EV13" s="1241"/>
      <c r="EW13" s="1241"/>
      <c r="EX13" s="1241"/>
      <c r="EY13" s="1241"/>
      <c r="EZ13" s="1241"/>
      <c r="FA13" s="1241"/>
      <c r="FB13" s="1241"/>
      <c r="FC13" s="1241"/>
      <c r="FD13" s="1241"/>
      <c r="FE13" s="1241"/>
      <c r="FF13" s="1241"/>
      <c r="FG13" s="1241"/>
      <c r="FH13" s="1241"/>
      <c r="FI13" s="1241"/>
      <c r="FJ13" s="1241"/>
      <c r="FK13" s="1241"/>
      <c r="FL13" s="1241"/>
      <c r="FM13" s="1241"/>
      <c r="FN13" s="1241"/>
      <c r="FO13" s="1241"/>
      <c r="FP13" s="1241"/>
      <c r="FQ13" s="1241"/>
      <c r="FR13" s="1241"/>
      <c r="FS13" s="1241"/>
      <c r="FT13" s="1241"/>
      <c r="FU13" s="1241"/>
      <c r="FV13" s="1241"/>
      <c r="FW13" s="1246"/>
      <c r="GC13" s="607">
        <v>36</v>
      </c>
    </row>
    <row r="14" spans="5:185" ht="37.9" customHeight="1">
      <c r="E14" s="613"/>
      <c r="F14" s="1069"/>
      <c r="G14" s="1069"/>
      <c r="H14" s="1069"/>
      <c r="I14" s="1069"/>
      <c r="J14" s="1258"/>
      <c r="K14" s="1258"/>
      <c r="L14" s="1258"/>
      <c r="M14" s="1258"/>
      <c r="N14" s="1258"/>
      <c r="O14" s="1173" t="s">
        <v>1105</v>
      </c>
      <c r="P14" s="1211"/>
      <c r="Q14" s="1173" t="s">
        <v>1106</v>
      </c>
      <c r="R14" s="1211"/>
      <c r="S14" s="1174"/>
      <c r="T14" s="1077"/>
      <c r="U14" s="1173" t="s">
        <v>837</v>
      </c>
      <c r="V14" s="1211"/>
      <c r="W14" s="1173" t="s">
        <v>840</v>
      </c>
      <c r="X14" s="1211"/>
      <c r="Y14" s="1173" t="s">
        <v>837</v>
      </c>
      <c r="Z14" s="1211"/>
      <c r="AA14" s="1173" t="s">
        <v>847</v>
      </c>
      <c r="AB14" s="121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2"/>
      <c r="BT14" s="1174"/>
      <c r="BU14" s="1077"/>
      <c r="BV14" s="1174"/>
      <c r="BW14" s="1077"/>
      <c r="BX14" s="1174"/>
      <c r="BY14" s="1077"/>
      <c r="BZ14" s="1174"/>
      <c r="CA14" s="1077"/>
      <c r="CB14" s="1174"/>
      <c r="CC14" s="1077"/>
      <c r="CD14" s="1174"/>
      <c r="CE14" s="1077"/>
      <c r="CF14" s="1174"/>
      <c r="CG14" s="1077"/>
      <c r="CH14" s="1173" t="s">
        <v>1107</v>
      </c>
      <c r="CI14" s="1211"/>
      <c r="CJ14" s="1173" t="s">
        <v>1108</v>
      </c>
      <c r="CK14" s="1211"/>
      <c r="CL14" s="1248"/>
      <c r="CM14" s="1241"/>
      <c r="CN14" s="1241"/>
      <c r="CO14" s="1241"/>
      <c r="CP14" s="1241"/>
      <c r="CQ14" s="1241"/>
      <c r="CR14" s="1241"/>
      <c r="CS14" s="1241"/>
      <c r="CT14" s="1241"/>
      <c r="CU14" s="1241"/>
      <c r="CV14" s="1241"/>
      <c r="CW14" s="1241"/>
      <c r="CX14" s="1242"/>
      <c r="CY14" s="1174"/>
      <c r="CZ14" s="1077"/>
      <c r="DA14" s="1174"/>
      <c r="DB14" s="1077"/>
      <c r="DC14" s="1174"/>
      <c r="DD14" s="1077"/>
      <c r="DE14" s="1174"/>
      <c r="DF14" s="1077"/>
      <c r="DG14" s="1173" t="s">
        <v>1109</v>
      </c>
      <c r="DH14" s="1211"/>
      <c r="DI14" s="1173" t="s">
        <v>1110</v>
      </c>
      <c r="DJ14" s="1211"/>
      <c r="DK14" s="1248"/>
      <c r="DL14" s="1241"/>
      <c r="DM14" s="1241"/>
      <c r="DN14" s="1241"/>
      <c r="DO14" s="1241"/>
      <c r="DP14" s="1241"/>
      <c r="DQ14" s="1241"/>
      <c r="DR14" s="1241"/>
      <c r="DS14" s="1241"/>
      <c r="DT14" s="1241"/>
      <c r="DU14" s="1241"/>
      <c r="DV14" s="1241"/>
      <c r="DW14" s="1241"/>
      <c r="DX14" s="1241"/>
      <c r="DY14" s="1241"/>
      <c r="DZ14" s="1241"/>
      <c r="EA14" s="1241"/>
      <c r="EB14" s="1241"/>
      <c r="EC14" s="1241"/>
      <c r="ED14" s="1241"/>
      <c r="EE14" s="1241"/>
      <c r="EF14" s="1241"/>
      <c r="EG14" s="1241"/>
      <c r="EH14" s="1241"/>
      <c r="EI14" s="1241"/>
      <c r="EJ14" s="1241"/>
      <c r="EK14" s="1241"/>
      <c r="EL14" s="1241"/>
      <c r="EM14" s="1241"/>
      <c r="EN14" s="1241"/>
      <c r="EO14" s="1241"/>
      <c r="EP14" s="1241"/>
      <c r="EQ14" s="1241"/>
      <c r="ER14" s="1241"/>
      <c r="ES14" s="1241"/>
      <c r="ET14" s="1241"/>
      <c r="EU14" s="1241"/>
      <c r="EV14" s="1241"/>
      <c r="EW14" s="1241"/>
      <c r="EX14" s="1241"/>
      <c r="EY14" s="1241"/>
      <c r="EZ14" s="1241"/>
      <c r="FA14" s="1241"/>
      <c r="FB14" s="1241"/>
      <c r="FC14" s="1241"/>
      <c r="FD14" s="1241"/>
      <c r="FE14" s="1241"/>
      <c r="FF14" s="1241"/>
      <c r="FG14" s="1241"/>
      <c r="FH14" s="1241"/>
      <c r="FI14" s="1241"/>
      <c r="FJ14" s="1241"/>
      <c r="FK14" s="1241"/>
      <c r="FL14" s="1241"/>
      <c r="FM14" s="1241"/>
      <c r="FN14" s="1241"/>
      <c r="FO14" s="1241"/>
      <c r="FP14" s="1241"/>
      <c r="FQ14" s="1241"/>
      <c r="FR14" s="1241"/>
      <c r="FS14" s="1241"/>
      <c r="FT14" s="1241"/>
      <c r="FU14" s="1241"/>
      <c r="FV14" s="1241"/>
      <c r="FW14" s="1246"/>
      <c r="GC14" s="607">
        <v>36</v>
      </c>
    </row>
    <row r="15" spans="5:185" ht="37.9" customHeight="1">
      <c r="E15" s="613"/>
      <c r="F15" s="1069"/>
      <c r="G15" s="1069"/>
      <c r="H15" s="1069"/>
      <c r="I15" s="1069"/>
      <c r="J15" s="1258"/>
      <c r="K15" s="1258"/>
      <c r="L15" s="1258"/>
      <c r="M15" s="1258"/>
      <c r="N15" s="1258"/>
      <c r="O15" s="1175"/>
      <c r="P15" s="1227"/>
      <c r="Q15" s="1175"/>
      <c r="R15" s="1227"/>
      <c r="S15" s="1175"/>
      <c r="T15" s="1227"/>
      <c r="U15" s="1175"/>
      <c r="V15" s="1227"/>
      <c r="W15" s="1175"/>
      <c r="X15" s="1227"/>
      <c r="Y15" s="1175"/>
      <c r="Z15" s="1227"/>
      <c r="AA15" s="1175"/>
      <c r="AB15" s="1227"/>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2"/>
      <c r="BT15" s="1175"/>
      <c r="BU15" s="1227"/>
      <c r="BV15" s="1175"/>
      <c r="BW15" s="1227"/>
      <c r="BX15" s="1175"/>
      <c r="BY15" s="1227"/>
      <c r="BZ15" s="1175"/>
      <c r="CA15" s="1227"/>
      <c r="CB15" s="1175"/>
      <c r="CC15" s="1227"/>
      <c r="CD15" s="1175"/>
      <c r="CE15" s="1227"/>
      <c r="CF15" s="1175"/>
      <c r="CG15" s="1227"/>
      <c r="CH15" s="1175"/>
      <c r="CI15" s="1227"/>
      <c r="CJ15" s="1175"/>
      <c r="CK15" s="1227"/>
      <c r="CL15" s="1248"/>
      <c r="CM15" s="1241"/>
      <c r="CN15" s="1241"/>
      <c r="CO15" s="1241"/>
      <c r="CP15" s="1241"/>
      <c r="CQ15" s="1241"/>
      <c r="CR15" s="1241"/>
      <c r="CS15" s="1241"/>
      <c r="CT15" s="1241"/>
      <c r="CU15" s="1241"/>
      <c r="CV15" s="1241"/>
      <c r="CW15" s="1241"/>
      <c r="CX15" s="1242"/>
      <c r="CY15" s="1175"/>
      <c r="CZ15" s="1227"/>
      <c r="DA15" s="1175"/>
      <c r="DB15" s="1227"/>
      <c r="DC15" s="1175"/>
      <c r="DD15" s="1227"/>
      <c r="DE15" s="1175"/>
      <c r="DF15" s="1227"/>
      <c r="DG15" s="1175"/>
      <c r="DH15" s="1227"/>
      <c r="DI15" s="1175"/>
      <c r="DJ15" s="1227"/>
      <c r="DK15" s="1248"/>
      <c r="DL15" s="1241"/>
      <c r="DM15" s="1241"/>
      <c r="DN15" s="1241"/>
      <c r="DO15" s="1241"/>
      <c r="DP15" s="1241"/>
      <c r="DQ15" s="1241"/>
      <c r="DR15" s="1241"/>
      <c r="DS15" s="1241"/>
      <c r="DT15" s="1241"/>
      <c r="DU15" s="1241"/>
      <c r="DV15" s="1241"/>
      <c r="DW15" s="1241"/>
      <c r="DX15" s="1241"/>
      <c r="DY15" s="1241"/>
      <c r="DZ15" s="1241"/>
      <c r="EA15" s="1241"/>
      <c r="EB15" s="1241"/>
      <c r="EC15" s="1241"/>
      <c r="ED15" s="1241"/>
      <c r="EE15" s="1241"/>
      <c r="EF15" s="1241"/>
      <c r="EG15" s="1241"/>
      <c r="EH15" s="1241"/>
      <c r="EI15" s="1241"/>
      <c r="EJ15" s="1241"/>
      <c r="EK15" s="1241"/>
      <c r="EL15" s="1241"/>
      <c r="EM15" s="1241"/>
      <c r="EN15" s="1241"/>
      <c r="EO15" s="1241"/>
      <c r="EP15" s="1241"/>
      <c r="EQ15" s="1241"/>
      <c r="ER15" s="1241"/>
      <c r="ES15" s="1241"/>
      <c r="ET15" s="1241"/>
      <c r="EU15" s="1241"/>
      <c r="EV15" s="1241"/>
      <c r="EW15" s="1241"/>
      <c r="EX15" s="1241"/>
      <c r="EY15" s="1241"/>
      <c r="EZ15" s="1241"/>
      <c r="FA15" s="1241"/>
      <c r="FB15" s="1241"/>
      <c r="FC15" s="1241"/>
      <c r="FD15" s="1241"/>
      <c r="FE15" s="1241"/>
      <c r="FF15" s="1241"/>
      <c r="FG15" s="1241"/>
      <c r="FH15" s="1241"/>
      <c r="FI15" s="1241"/>
      <c r="FJ15" s="1241"/>
      <c r="FK15" s="1241"/>
      <c r="FL15" s="1241"/>
      <c r="FM15" s="1241"/>
      <c r="FN15" s="1241"/>
      <c r="FO15" s="1241"/>
      <c r="FP15" s="1241"/>
      <c r="FQ15" s="1241"/>
      <c r="FR15" s="1241"/>
      <c r="FS15" s="1241"/>
      <c r="FT15" s="1241"/>
      <c r="FU15" s="1241"/>
      <c r="FV15" s="1241"/>
      <c r="FW15" s="1246"/>
      <c r="GC15" s="607">
        <v>36</v>
      </c>
    </row>
    <row r="16" spans="5:185" ht="12.75" customHeight="1">
      <c r="E16" s="613"/>
      <c r="F16" s="1069"/>
      <c r="G16" s="1069"/>
      <c r="H16" s="1069"/>
      <c r="I16" s="1069"/>
      <c r="J16" s="1258"/>
      <c r="K16" s="1258"/>
      <c r="L16" s="1258"/>
      <c r="M16" s="1258"/>
      <c r="N16" s="1258"/>
      <c r="O16" s="1209" t="s">
        <v>827</v>
      </c>
      <c r="P16" s="1240"/>
      <c r="Q16" s="1209" t="s">
        <v>829</v>
      </c>
      <c r="R16" s="1240"/>
      <c r="S16" s="1209" t="s">
        <v>833</v>
      </c>
      <c r="T16" s="1240"/>
      <c r="U16" s="1209" t="s">
        <v>838</v>
      </c>
      <c r="V16" s="1240"/>
      <c r="W16" s="1209" t="s">
        <v>841</v>
      </c>
      <c r="X16" s="1240"/>
      <c r="Y16" s="1209" t="s">
        <v>845</v>
      </c>
      <c r="Z16" s="1240"/>
      <c r="AA16" s="1209" t="s">
        <v>848</v>
      </c>
      <c r="AB16" s="1240"/>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2"/>
      <c r="BT16" s="1209" t="s">
        <v>559</v>
      </c>
      <c r="BU16" s="1240"/>
      <c r="BV16" s="1209" t="s">
        <v>559</v>
      </c>
      <c r="BW16" s="1240"/>
      <c r="BX16" s="1209" t="s">
        <v>559</v>
      </c>
      <c r="BY16" s="1240"/>
      <c r="BZ16" s="1209" t="s">
        <v>559</v>
      </c>
      <c r="CA16" s="1240"/>
      <c r="CB16" s="1209" t="s">
        <v>1111</v>
      </c>
      <c r="CC16" s="1240"/>
      <c r="CD16" s="1209" t="s">
        <v>559</v>
      </c>
      <c r="CE16" s="1240"/>
      <c r="CF16" s="1209" t="s">
        <v>1112</v>
      </c>
      <c r="CG16" s="1240"/>
      <c r="CH16" s="1209" t="s">
        <v>1113</v>
      </c>
      <c r="CI16" s="1240"/>
      <c r="CJ16" s="1209" t="s">
        <v>1113</v>
      </c>
      <c r="CK16" s="1240"/>
      <c r="CL16" s="1248"/>
      <c r="CM16" s="1241"/>
      <c r="CN16" s="1241"/>
      <c r="CO16" s="1241"/>
      <c r="CP16" s="1241"/>
      <c r="CQ16" s="1241"/>
      <c r="CR16" s="1241"/>
      <c r="CS16" s="1241"/>
      <c r="CT16" s="1241"/>
      <c r="CU16" s="1241"/>
      <c r="CV16" s="1241"/>
      <c r="CW16" s="1241"/>
      <c r="CX16" s="1242"/>
      <c r="CY16" s="1173" t="s">
        <v>559</v>
      </c>
      <c r="CZ16" s="1211"/>
      <c r="DA16" s="1173" t="s">
        <v>559</v>
      </c>
      <c r="DB16" s="1211"/>
      <c r="DC16" s="1173" t="s">
        <v>559</v>
      </c>
      <c r="DD16" s="1211"/>
      <c r="DE16" s="1209" t="s">
        <v>1111</v>
      </c>
      <c r="DF16" s="1240"/>
      <c r="DG16" s="1209" t="s">
        <v>1114</v>
      </c>
      <c r="DH16" s="1240"/>
      <c r="DI16" s="1209" t="s">
        <v>1114</v>
      </c>
      <c r="DJ16" s="1240"/>
      <c r="DK16" s="1248"/>
      <c r="DL16" s="1241"/>
      <c r="DM16" s="1241"/>
      <c r="DN16" s="1241"/>
      <c r="DO16" s="1241"/>
      <c r="DP16" s="1241"/>
      <c r="DQ16" s="1241"/>
      <c r="DR16" s="1241"/>
      <c r="DS16" s="1241"/>
      <c r="DT16" s="1241"/>
      <c r="DU16" s="1241"/>
      <c r="DV16" s="1241"/>
      <c r="DW16" s="1241"/>
      <c r="DX16" s="1241"/>
      <c r="DY16" s="1241"/>
      <c r="DZ16" s="1241"/>
      <c r="EA16" s="1241"/>
      <c r="EB16" s="1241"/>
      <c r="EC16" s="1241"/>
      <c r="ED16" s="1241"/>
      <c r="EE16" s="1241"/>
      <c r="EF16" s="1241"/>
      <c r="EG16" s="1241"/>
      <c r="EH16" s="1241"/>
      <c r="EI16" s="1241"/>
      <c r="EJ16" s="1241"/>
      <c r="EK16" s="1241"/>
      <c r="EL16" s="1241"/>
      <c r="EM16" s="1241"/>
      <c r="EN16" s="1241"/>
      <c r="EO16" s="1241"/>
      <c r="EP16" s="1241"/>
      <c r="EQ16" s="1241"/>
      <c r="ER16" s="1241"/>
      <c r="ES16" s="1241"/>
      <c r="ET16" s="1241"/>
      <c r="EU16" s="1241"/>
      <c r="EV16" s="1241"/>
      <c r="EW16" s="1241"/>
      <c r="EX16" s="1241"/>
      <c r="EY16" s="1241"/>
      <c r="EZ16" s="1241"/>
      <c r="FA16" s="1241"/>
      <c r="FB16" s="1241"/>
      <c r="FC16" s="1241"/>
      <c r="FD16" s="1241"/>
      <c r="FE16" s="1241"/>
      <c r="FF16" s="1241"/>
      <c r="FG16" s="1241"/>
      <c r="FH16" s="1241"/>
      <c r="FI16" s="1241"/>
      <c r="FJ16" s="1241"/>
      <c r="FK16" s="1241"/>
      <c r="FL16" s="1241"/>
      <c r="FM16" s="1241"/>
      <c r="FN16" s="1241"/>
      <c r="FO16" s="1241"/>
      <c r="FP16" s="1241"/>
      <c r="FQ16" s="1241"/>
      <c r="FR16" s="1241"/>
      <c r="FS16" s="1241"/>
      <c r="FT16" s="1241"/>
      <c r="FU16" s="1241"/>
      <c r="FV16" s="1241"/>
      <c r="FW16" s="1246"/>
      <c r="GC16" s="607">
        <v>12</v>
      </c>
    </row>
    <row r="17" spans="1:185" ht="15.75" customHeight="1">
      <c r="E17" s="613"/>
      <c r="F17" s="1069"/>
      <c r="G17" s="1069"/>
      <c r="H17" s="1069"/>
      <c r="I17" s="1069"/>
      <c r="J17" s="1258"/>
      <c r="K17" s="1258"/>
      <c r="L17" s="1258"/>
      <c r="M17" s="1258"/>
      <c r="N17" s="1258"/>
      <c r="O17" s="189" t="s">
        <v>1115</v>
      </c>
      <c r="P17" s="189" t="s">
        <v>1116</v>
      </c>
      <c r="Q17" s="189" t="s">
        <v>1115</v>
      </c>
      <c r="R17" s="189" t="s">
        <v>1116</v>
      </c>
      <c r="S17" s="189" t="s">
        <v>1115</v>
      </c>
      <c r="T17" s="189" t="s">
        <v>1116</v>
      </c>
      <c r="U17" s="189" t="s">
        <v>1115</v>
      </c>
      <c r="V17" s="189" t="s">
        <v>1116</v>
      </c>
      <c r="W17" s="189" t="s">
        <v>1115</v>
      </c>
      <c r="X17" s="189" t="s">
        <v>1116</v>
      </c>
      <c r="Y17" s="189" t="s">
        <v>1115</v>
      </c>
      <c r="Z17" s="189" t="s">
        <v>1116</v>
      </c>
      <c r="AA17" s="189" t="s">
        <v>1115</v>
      </c>
      <c r="AB17" s="189" t="s">
        <v>1116</v>
      </c>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2"/>
      <c r="BT17" s="189" t="s">
        <v>1115</v>
      </c>
      <c r="BU17" s="189" t="s">
        <v>1116</v>
      </c>
      <c r="BV17" s="189" t="s">
        <v>1115</v>
      </c>
      <c r="BW17" s="189" t="s">
        <v>1116</v>
      </c>
      <c r="BX17" s="189" t="s">
        <v>1115</v>
      </c>
      <c r="BY17" s="189" t="s">
        <v>1116</v>
      </c>
      <c r="BZ17" s="189" t="s">
        <v>1115</v>
      </c>
      <c r="CA17" s="189" t="s">
        <v>1116</v>
      </c>
      <c r="CB17" s="189" t="s">
        <v>1115</v>
      </c>
      <c r="CC17" s="189" t="s">
        <v>1116</v>
      </c>
      <c r="CD17" s="189" t="s">
        <v>1115</v>
      </c>
      <c r="CE17" s="189" t="s">
        <v>1116</v>
      </c>
      <c r="CF17" s="189" t="s">
        <v>1115</v>
      </c>
      <c r="CG17" s="189" t="s">
        <v>1116</v>
      </c>
      <c r="CH17" s="189" t="s">
        <v>1115</v>
      </c>
      <c r="CI17" s="189" t="s">
        <v>1116</v>
      </c>
      <c r="CJ17" s="189" t="s">
        <v>1115</v>
      </c>
      <c r="CK17" s="189" t="s">
        <v>1116</v>
      </c>
      <c r="CL17" s="1248"/>
      <c r="CM17" s="1241"/>
      <c r="CN17" s="1241"/>
      <c r="CO17" s="1241"/>
      <c r="CP17" s="1241"/>
      <c r="CQ17" s="1241"/>
      <c r="CR17" s="1241"/>
      <c r="CS17" s="1241"/>
      <c r="CT17" s="1241"/>
      <c r="CU17" s="1241"/>
      <c r="CV17" s="1241"/>
      <c r="CW17" s="1241"/>
      <c r="CX17" s="1242"/>
      <c r="CY17" s="189" t="s">
        <v>1115</v>
      </c>
      <c r="CZ17" s="189" t="s">
        <v>1116</v>
      </c>
      <c r="DA17" s="189" t="s">
        <v>1115</v>
      </c>
      <c r="DB17" s="189" t="s">
        <v>1116</v>
      </c>
      <c r="DC17" s="189" t="s">
        <v>1115</v>
      </c>
      <c r="DD17" s="189" t="s">
        <v>1116</v>
      </c>
      <c r="DE17" s="189" t="s">
        <v>1115</v>
      </c>
      <c r="DF17" s="189" t="s">
        <v>1116</v>
      </c>
      <c r="DG17" s="189" t="s">
        <v>1115</v>
      </c>
      <c r="DH17" s="189" t="s">
        <v>1116</v>
      </c>
      <c r="DI17" s="189" t="s">
        <v>1115</v>
      </c>
      <c r="DJ17" s="189" t="s">
        <v>1116</v>
      </c>
      <c r="DK17" s="1248"/>
      <c r="DL17" s="1241"/>
      <c r="DM17" s="1241"/>
      <c r="DN17" s="1241"/>
      <c r="DO17" s="1241"/>
      <c r="DP17" s="1241"/>
      <c r="DQ17" s="1241"/>
      <c r="DR17" s="1241"/>
      <c r="DS17" s="1241"/>
      <c r="DT17" s="1241"/>
      <c r="DU17" s="1241"/>
      <c r="DV17" s="1241"/>
      <c r="DW17" s="1241"/>
      <c r="DX17" s="1241"/>
      <c r="DY17" s="1241"/>
      <c r="DZ17" s="1241"/>
      <c r="EA17" s="1241"/>
      <c r="EB17" s="1241"/>
      <c r="EC17" s="1241"/>
      <c r="ED17" s="1241"/>
      <c r="EE17" s="1241"/>
      <c r="EF17" s="1241"/>
      <c r="EG17" s="1241"/>
      <c r="EH17" s="1241"/>
      <c r="EI17" s="1241"/>
      <c r="EJ17" s="1241"/>
      <c r="EK17" s="1241"/>
      <c r="EL17" s="1241"/>
      <c r="EM17" s="1241"/>
      <c r="EN17" s="1241"/>
      <c r="EO17" s="1241"/>
      <c r="EP17" s="1241"/>
      <c r="EQ17" s="1241"/>
      <c r="ER17" s="1241"/>
      <c r="ES17" s="1241"/>
      <c r="ET17" s="1241"/>
      <c r="EU17" s="1241"/>
      <c r="EV17" s="1241"/>
      <c r="EW17" s="1241"/>
      <c r="EX17" s="1241"/>
      <c r="EY17" s="1241"/>
      <c r="EZ17" s="1241"/>
      <c r="FA17" s="1241"/>
      <c r="FB17" s="1241"/>
      <c r="FC17" s="1241"/>
      <c r="FD17" s="1241"/>
      <c r="FE17" s="1241"/>
      <c r="FF17" s="1241"/>
      <c r="FG17" s="1241"/>
      <c r="FH17" s="1241"/>
      <c r="FI17" s="1241"/>
      <c r="FJ17" s="1241"/>
      <c r="FK17" s="1241"/>
      <c r="FL17" s="1241"/>
      <c r="FM17" s="1241"/>
      <c r="FN17" s="1241"/>
      <c r="FO17" s="1241"/>
      <c r="FP17" s="1241"/>
      <c r="FQ17" s="1241"/>
      <c r="FR17" s="1241"/>
      <c r="FS17" s="1241"/>
      <c r="FT17" s="1241"/>
      <c r="FU17" s="1241"/>
      <c r="FV17" s="1241"/>
      <c r="FW17" s="1247"/>
      <c r="GC17" s="607">
        <v>15</v>
      </c>
    </row>
    <row r="18" spans="1:185" ht="12" hidden="1" customHeight="1">
      <c r="E18" s="614"/>
      <c r="F18" s="615"/>
      <c r="G18" s="615"/>
      <c r="H18" s="615"/>
      <c r="I18" s="615"/>
      <c r="J18" s="616"/>
      <c r="K18" s="616"/>
      <c r="L18" s="616"/>
      <c r="M18" s="616"/>
      <c r="N18" s="616"/>
      <c r="O18" s="615"/>
      <c r="P18" s="615"/>
      <c r="Q18" s="615"/>
      <c r="R18" s="615"/>
      <c r="S18" s="615"/>
      <c r="T18" s="615"/>
      <c r="U18" s="617"/>
      <c r="V18" s="617"/>
      <c r="W18" s="617"/>
      <c r="X18" s="617"/>
      <c r="Y18" s="617"/>
      <c r="Z18" s="617"/>
      <c r="AA18" s="617"/>
      <c r="AB18" s="615"/>
      <c r="AC18" s="616"/>
      <c r="AD18" s="616"/>
      <c r="AE18" s="616"/>
      <c r="AF18" s="616"/>
      <c r="AG18" s="616"/>
      <c r="AH18" s="616"/>
      <c r="AI18" s="616"/>
      <c r="AJ18" s="616"/>
      <c r="AK18" s="616"/>
      <c r="AL18" s="616"/>
      <c r="AM18" s="616"/>
      <c r="AN18" s="616"/>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8"/>
      <c r="BU18" s="618"/>
      <c r="BV18" s="618"/>
      <c r="BW18" s="618"/>
      <c r="BX18" s="618"/>
      <c r="BY18" s="618"/>
      <c r="BZ18" s="618"/>
      <c r="CA18" s="618"/>
      <c r="CB18" s="618"/>
      <c r="CC18" s="618"/>
      <c r="CD18" s="618"/>
      <c r="CE18" s="618"/>
      <c r="CF18" s="618"/>
      <c r="CG18" s="618"/>
      <c r="CH18" s="618"/>
      <c r="CI18" s="618"/>
      <c r="CJ18" s="618"/>
      <c r="CK18" s="618"/>
      <c r="CL18" s="616"/>
      <c r="CM18" s="616"/>
      <c r="CN18" s="616"/>
      <c r="CO18" s="616"/>
      <c r="CP18" s="616"/>
      <c r="CQ18" s="616"/>
      <c r="CR18" s="616"/>
      <c r="CS18" s="616"/>
      <c r="CT18" s="616"/>
      <c r="CU18" s="616"/>
      <c r="CV18" s="616"/>
      <c r="CW18" s="616"/>
      <c r="CX18" s="616"/>
      <c r="CY18" s="618"/>
      <c r="CZ18" s="618"/>
      <c r="DA18" s="618"/>
      <c r="DB18" s="618"/>
      <c r="DC18" s="618"/>
      <c r="DD18" s="618"/>
      <c r="DE18" s="618"/>
      <c r="DF18" s="618"/>
      <c r="DG18" s="618"/>
      <c r="DH18" s="618"/>
      <c r="DI18" s="618"/>
      <c r="DJ18" s="618"/>
      <c r="DK18" s="616"/>
      <c r="DL18" s="616"/>
      <c r="DM18" s="616"/>
      <c r="DN18" s="616"/>
      <c r="DO18" s="616"/>
      <c r="DP18" s="616"/>
      <c r="DQ18" s="616"/>
      <c r="DR18" s="616"/>
      <c r="DS18" s="616"/>
      <c r="DT18" s="616"/>
      <c r="DU18" s="616"/>
      <c r="DV18" s="616"/>
      <c r="DW18" s="616"/>
      <c r="DX18" s="616"/>
      <c r="DY18" s="616"/>
      <c r="DZ18" s="616"/>
      <c r="EA18" s="616"/>
      <c r="EB18" s="616"/>
      <c r="EC18" s="616"/>
      <c r="ED18" s="616"/>
      <c r="EE18" s="616"/>
      <c r="EF18" s="616"/>
      <c r="EG18" s="616"/>
      <c r="EH18" s="616"/>
      <c r="EI18" s="616"/>
      <c r="EJ18" s="616"/>
      <c r="EK18" s="616"/>
      <c r="EL18" s="616"/>
      <c r="EM18" s="616"/>
      <c r="EN18" s="616"/>
      <c r="EO18" s="616"/>
      <c r="EP18" s="616"/>
      <c r="EQ18" s="616"/>
      <c r="ER18" s="616"/>
      <c r="ES18" s="616"/>
      <c r="ET18" s="616"/>
      <c r="EU18" s="616"/>
      <c r="EV18" s="616"/>
      <c r="EW18" s="616"/>
      <c r="EX18" s="616"/>
      <c r="EY18" s="616"/>
      <c r="EZ18" s="616"/>
      <c r="FA18" s="616"/>
      <c r="FB18" s="616"/>
      <c r="FC18" s="616"/>
      <c r="FD18" s="616"/>
      <c r="FE18" s="616"/>
      <c r="FF18" s="616"/>
      <c r="FG18" s="616"/>
      <c r="FH18" s="616"/>
      <c r="FI18" s="616"/>
      <c r="FJ18" s="616"/>
      <c r="FK18" s="616"/>
      <c r="FL18" s="616"/>
      <c r="FM18" s="616"/>
      <c r="FN18" s="616"/>
      <c r="FO18" s="616"/>
      <c r="FP18" s="616"/>
      <c r="FQ18" s="616"/>
      <c r="FR18" s="616"/>
      <c r="FS18" s="616"/>
      <c r="FT18" s="616"/>
      <c r="FU18" s="616"/>
      <c r="FV18" s="616"/>
      <c r="FW18" s="615"/>
      <c r="GC18" s="606">
        <v>0</v>
      </c>
    </row>
    <row r="19" spans="1:185" ht="11.25" hidden="1" customHeight="1">
      <c r="E19" s="614"/>
      <c r="F19" s="615"/>
      <c r="G19" s="615"/>
      <c r="H19" s="615"/>
      <c r="I19" s="615"/>
      <c r="J19" s="615"/>
      <c r="K19" s="615"/>
      <c r="L19" s="615"/>
      <c r="M19" s="615"/>
      <c r="N19" s="615"/>
      <c r="O19" s="615"/>
      <c r="P19" s="615"/>
      <c r="Q19" s="615"/>
      <c r="R19" s="615"/>
      <c r="S19" s="615"/>
      <c r="T19" s="615"/>
      <c r="U19" s="617"/>
      <c r="V19" s="617"/>
      <c r="W19" s="617"/>
      <c r="X19" s="617"/>
      <c r="Y19" s="617"/>
      <c r="Z19" s="617"/>
      <c r="AA19" s="617"/>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c r="CU19" s="615"/>
      <c r="CV19" s="615"/>
      <c r="CW19" s="615"/>
      <c r="CX19" s="615"/>
      <c r="CY19" s="615"/>
      <c r="CZ19" s="615"/>
      <c r="DA19" s="615"/>
      <c r="DB19" s="615"/>
      <c r="DC19" s="615"/>
      <c r="DD19" s="615"/>
      <c r="DE19" s="615"/>
      <c r="DF19" s="615"/>
      <c r="DG19" s="615"/>
      <c r="DH19" s="615"/>
      <c r="DI19" s="615"/>
      <c r="DJ19" s="615"/>
      <c r="DK19" s="615"/>
      <c r="DL19" s="615"/>
      <c r="DM19" s="615"/>
      <c r="DN19" s="615"/>
      <c r="DO19" s="615"/>
      <c r="DP19" s="615"/>
      <c r="DQ19" s="615"/>
      <c r="DR19" s="615"/>
      <c r="DS19" s="615"/>
      <c r="DT19" s="615"/>
      <c r="DU19" s="615"/>
      <c r="DV19" s="615"/>
      <c r="DW19" s="615"/>
      <c r="DX19" s="615"/>
      <c r="DY19" s="615"/>
      <c r="DZ19" s="615"/>
      <c r="EA19" s="615"/>
      <c r="EB19" s="615"/>
      <c r="EC19" s="615"/>
      <c r="ED19" s="615"/>
      <c r="EE19" s="615"/>
      <c r="EF19" s="615"/>
      <c r="EG19" s="615"/>
      <c r="EH19" s="615"/>
      <c r="EI19" s="615"/>
      <c r="EJ19" s="615"/>
      <c r="EK19" s="615"/>
      <c r="EL19" s="615"/>
      <c r="EM19" s="615"/>
      <c r="EN19" s="615"/>
      <c r="EO19" s="615"/>
      <c r="EP19" s="615"/>
      <c r="EQ19" s="615"/>
      <c r="ER19" s="615"/>
      <c r="ES19" s="615"/>
      <c r="ET19" s="615"/>
      <c r="EU19" s="615"/>
      <c r="EV19" s="615"/>
      <c r="EW19" s="615"/>
      <c r="EX19" s="615"/>
      <c r="EY19" s="615"/>
      <c r="EZ19" s="615"/>
      <c r="FA19" s="615"/>
      <c r="FB19" s="615"/>
      <c r="FC19" s="615"/>
      <c r="FD19" s="615"/>
      <c r="FE19" s="615"/>
      <c r="FF19" s="615"/>
      <c r="FG19" s="615"/>
      <c r="FH19" s="615"/>
      <c r="FI19" s="615"/>
      <c r="FJ19" s="615"/>
      <c r="FK19" s="615"/>
      <c r="FL19" s="615"/>
      <c r="FM19" s="615"/>
      <c r="FN19" s="615"/>
      <c r="FO19" s="615"/>
      <c r="FP19" s="615"/>
      <c r="FQ19" s="615"/>
      <c r="FR19" s="615"/>
      <c r="FS19" s="615"/>
      <c r="FT19" s="615"/>
      <c r="FU19" s="615"/>
      <c r="FV19" s="615"/>
      <c r="FW19" s="615"/>
      <c r="GC19" s="606">
        <v>0</v>
      </c>
    </row>
    <row r="20" spans="1:185" ht="11.25" hidden="1" customHeight="1">
      <c r="E20" s="614"/>
      <c r="F20" s="619" t="s">
        <v>377</v>
      </c>
      <c r="G20" s="173"/>
      <c r="H20" s="620"/>
      <c r="I20" s="620"/>
      <c r="J20" s="620"/>
      <c r="K20" s="620"/>
      <c r="L20" s="620"/>
      <c r="M20" s="620"/>
      <c r="N20" s="620"/>
      <c r="O20" s="173"/>
      <c r="P20" s="173"/>
      <c r="Q20" s="173"/>
      <c r="R20" s="173"/>
      <c r="S20" s="173"/>
      <c r="T20" s="173"/>
      <c r="U20" s="621"/>
      <c r="V20" s="621"/>
      <c r="W20" s="621"/>
      <c r="X20" s="621"/>
      <c r="Y20" s="621"/>
      <c r="Z20" s="621"/>
      <c r="AA20" s="621"/>
      <c r="AB20" s="173"/>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0"/>
      <c r="BS20" s="620"/>
      <c r="BT20" s="620"/>
      <c r="BU20" s="620"/>
      <c r="BV20" s="620"/>
      <c r="BW20" s="620"/>
      <c r="BX20" s="620"/>
      <c r="BY20" s="620"/>
      <c r="BZ20" s="620"/>
      <c r="CA20" s="620"/>
      <c r="CB20" s="620"/>
      <c r="CC20" s="620"/>
      <c r="CD20" s="620"/>
      <c r="CE20" s="620"/>
      <c r="CF20" s="620"/>
      <c r="CG20" s="620"/>
      <c r="CH20" s="620"/>
      <c r="CI20" s="620"/>
      <c r="CJ20" s="620"/>
      <c r="CK20" s="620"/>
      <c r="CL20" s="622"/>
      <c r="CM20" s="622"/>
      <c r="CN20" s="622"/>
      <c r="CO20" s="622"/>
      <c r="CP20" s="622"/>
      <c r="CQ20" s="622"/>
      <c r="CR20" s="622"/>
      <c r="CS20" s="622"/>
      <c r="CT20" s="622"/>
      <c r="CU20" s="622"/>
      <c r="CV20" s="622"/>
      <c r="CW20" s="622"/>
      <c r="CX20" s="622"/>
      <c r="CY20" s="622"/>
      <c r="CZ20" s="622"/>
      <c r="DA20" s="622"/>
      <c r="DB20" s="622"/>
      <c r="DC20" s="622"/>
      <c r="DD20" s="622"/>
      <c r="DE20" s="622"/>
      <c r="DF20" s="622"/>
      <c r="DG20" s="622"/>
      <c r="DH20" s="622"/>
      <c r="DI20" s="622"/>
      <c r="DJ20" s="622"/>
      <c r="DK20" s="622"/>
      <c r="DL20" s="622"/>
      <c r="DM20" s="622"/>
      <c r="DN20" s="622"/>
      <c r="DO20" s="622"/>
      <c r="DP20" s="622"/>
      <c r="DQ20" s="622"/>
      <c r="DR20" s="622"/>
      <c r="DS20" s="622"/>
      <c r="DT20" s="622"/>
      <c r="DU20" s="622"/>
      <c r="DV20" s="622"/>
      <c r="DW20" s="622"/>
      <c r="DX20" s="622"/>
      <c r="DY20" s="622"/>
      <c r="DZ20" s="622"/>
      <c r="EA20" s="622"/>
      <c r="EB20" s="622"/>
      <c r="EC20" s="622"/>
      <c r="ED20" s="622"/>
      <c r="EE20" s="622"/>
      <c r="EF20" s="622"/>
      <c r="EG20" s="622"/>
      <c r="EH20" s="622"/>
      <c r="EI20" s="622"/>
      <c r="EJ20" s="622"/>
      <c r="EK20" s="622"/>
      <c r="EL20" s="622"/>
      <c r="EM20" s="622"/>
      <c r="EN20" s="622"/>
      <c r="EO20" s="622"/>
      <c r="EP20" s="622"/>
      <c r="EQ20" s="622"/>
      <c r="ER20" s="622"/>
      <c r="ES20" s="622"/>
      <c r="ET20" s="622"/>
      <c r="EU20" s="622"/>
      <c r="EV20" s="622"/>
      <c r="EW20" s="622"/>
      <c r="EX20" s="622"/>
      <c r="EY20" s="622"/>
      <c r="EZ20" s="622"/>
      <c r="FA20" s="622"/>
      <c r="FB20" s="622"/>
      <c r="FC20" s="622"/>
      <c r="FD20" s="622"/>
      <c r="FE20" s="622"/>
      <c r="FF20" s="622"/>
      <c r="FG20" s="622"/>
      <c r="FH20" s="622"/>
      <c r="FI20" s="622"/>
      <c r="FJ20" s="622"/>
      <c r="FK20" s="622"/>
      <c r="FL20" s="622"/>
      <c r="FM20" s="622"/>
      <c r="FN20" s="622"/>
      <c r="FO20" s="622"/>
      <c r="FP20" s="622"/>
      <c r="FQ20" s="622"/>
      <c r="FR20" s="622"/>
      <c r="FS20" s="622"/>
      <c r="FT20" s="622"/>
      <c r="FU20" s="622"/>
      <c r="FV20" s="622"/>
      <c r="FW20" s="622"/>
      <c r="GC20" s="606">
        <v>0</v>
      </c>
    </row>
    <row r="21" spans="1:185" ht="12.75" customHeight="1">
      <c r="F21" s="614"/>
      <c r="G21" s="614"/>
      <c r="H21" s="614"/>
      <c r="I21" s="614"/>
      <c r="J21" s="614"/>
      <c r="K21" s="614"/>
      <c r="L21" s="614"/>
      <c r="M21" s="614"/>
      <c r="N21" s="614"/>
      <c r="O21" s="614"/>
      <c r="P21" s="614"/>
      <c r="Q21" s="614"/>
      <c r="R21" s="614"/>
      <c r="S21" s="623"/>
      <c r="T21" s="623"/>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c r="CU21" s="614"/>
      <c r="CV21" s="614"/>
      <c r="CW21" s="614"/>
      <c r="CX21" s="614"/>
      <c r="CY21" s="614"/>
      <c r="CZ21" s="614"/>
      <c r="DA21" s="614"/>
      <c r="DB21" s="614"/>
      <c r="DC21" s="614"/>
      <c r="DD21" s="614"/>
      <c r="DE21" s="614"/>
      <c r="DF21" s="614"/>
      <c r="DG21" s="614"/>
      <c r="DH21" s="614"/>
      <c r="DI21" s="614"/>
      <c r="DJ21" s="614"/>
      <c r="DK21" s="614"/>
      <c r="DL21" s="614"/>
      <c r="DM21" s="614"/>
      <c r="DN21" s="614"/>
      <c r="DO21" s="614"/>
      <c r="DP21" s="614"/>
      <c r="DQ21" s="614"/>
      <c r="DR21" s="614"/>
      <c r="DS21" s="614"/>
      <c r="DT21" s="614"/>
      <c r="DU21" s="614"/>
      <c r="DV21" s="614"/>
      <c r="DW21" s="614"/>
      <c r="DX21" s="614"/>
      <c r="DY21" s="614"/>
      <c r="DZ21" s="614"/>
      <c r="EA21" s="614"/>
      <c r="EB21" s="614"/>
      <c r="EC21" s="614"/>
      <c r="ED21" s="614"/>
      <c r="EE21" s="614"/>
      <c r="EF21" s="614"/>
      <c r="EG21" s="614"/>
      <c r="EH21" s="614"/>
      <c r="EI21" s="614"/>
      <c r="EJ21" s="614"/>
      <c r="EK21" s="614"/>
      <c r="EL21" s="614"/>
      <c r="EM21" s="614"/>
      <c r="EN21" s="614"/>
      <c r="EO21" s="614"/>
      <c r="EP21" s="614"/>
      <c r="EQ21" s="614"/>
      <c r="ER21" s="614"/>
      <c r="ES21" s="614"/>
      <c r="ET21" s="614"/>
      <c r="EU21" s="614"/>
      <c r="EV21" s="614"/>
      <c r="EW21" s="614"/>
      <c r="EX21" s="614"/>
      <c r="EY21" s="614"/>
      <c r="EZ21" s="614"/>
      <c r="FA21" s="614"/>
      <c r="FB21" s="614"/>
      <c r="FC21" s="614"/>
      <c r="FD21" s="614"/>
      <c r="FE21" s="614"/>
      <c r="FF21" s="614"/>
      <c r="FG21" s="614"/>
      <c r="FH21" s="614"/>
      <c r="FI21" s="614"/>
      <c r="FJ21" s="614"/>
      <c r="FK21" s="614"/>
      <c r="FL21" s="614"/>
      <c r="FM21" s="614"/>
      <c r="FN21" s="614"/>
      <c r="FO21" s="614"/>
      <c r="FP21" s="614"/>
      <c r="FQ21" s="614"/>
      <c r="FR21" s="614"/>
      <c r="FS21" s="614"/>
      <c r="FT21" s="614"/>
      <c r="FU21" s="614"/>
      <c r="FV21" s="614"/>
      <c r="FW21" s="614"/>
      <c r="GC21" s="606">
        <v>12</v>
      </c>
    </row>
    <row r="22" spans="1:185" ht="12.75" customHeight="1">
      <c r="GC22" s="606">
        <v>12</v>
      </c>
    </row>
    <row r="23" spans="1:185" ht="12.75" customHeight="1">
      <c r="GC23" s="607">
        <v>12</v>
      </c>
    </row>
    <row r="24" spans="1:185" ht="12.75" customHeight="1">
      <c r="GC24" s="607">
        <v>12</v>
      </c>
    </row>
    <row r="25" spans="1:185" ht="12" hidden="1" customHeight="1">
      <c r="A25" s="607" t="s">
        <v>82</v>
      </c>
      <c r="B25" s="624">
        <v>0</v>
      </c>
      <c r="C25" s="607">
        <v>0</v>
      </c>
      <c r="D25" s="607">
        <v>0</v>
      </c>
      <c r="E25" s="607">
        <v>3</v>
      </c>
      <c r="F25" s="607">
        <v>6</v>
      </c>
      <c r="G25" s="607">
        <v>18</v>
      </c>
      <c r="H25" s="607">
        <v>27</v>
      </c>
      <c r="I25" s="607">
        <v>18</v>
      </c>
      <c r="J25" s="607">
        <v>0</v>
      </c>
      <c r="K25" s="607">
        <v>0</v>
      </c>
      <c r="L25" s="607">
        <v>0</v>
      </c>
      <c r="M25" s="607">
        <v>0</v>
      </c>
      <c r="N25" s="607">
        <v>0</v>
      </c>
      <c r="O25" s="607">
        <v>0</v>
      </c>
      <c r="P25" s="607">
        <v>0</v>
      </c>
      <c r="Q25" s="607">
        <v>0</v>
      </c>
      <c r="R25" s="607">
        <v>0</v>
      </c>
      <c r="S25" s="607">
        <v>0</v>
      </c>
      <c r="T25" s="607">
        <v>0</v>
      </c>
      <c r="U25" s="607">
        <v>0</v>
      </c>
      <c r="V25" s="607">
        <v>0</v>
      </c>
      <c r="W25" s="607">
        <v>0</v>
      </c>
      <c r="X25" s="607">
        <v>0</v>
      </c>
      <c r="Y25" s="607">
        <v>0</v>
      </c>
      <c r="Z25" s="607">
        <v>0</v>
      </c>
      <c r="AA25" s="607">
        <v>0</v>
      </c>
      <c r="AB25" s="607">
        <v>0</v>
      </c>
      <c r="AC25" s="607">
        <v>0</v>
      </c>
      <c r="AD25" s="607">
        <v>0</v>
      </c>
      <c r="AE25" s="607">
        <v>0</v>
      </c>
      <c r="AF25" s="607">
        <v>0</v>
      </c>
      <c r="AG25" s="607">
        <v>0</v>
      </c>
      <c r="AH25" s="607">
        <v>0</v>
      </c>
      <c r="AI25" s="607">
        <v>0</v>
      </c>
      <c r="AJ25" s="607">
        <v>0</v>
      </c>
      <c r="AK25" s="607">
        <v>0</v>
      </c>
      <c r="AL25" s="607">
        <v>0</v>
      </c>
      <c r="AM25" s="607">
        <v>0</v>
      </c>
      <c r="AN25" s="607">
        <v>0</v>
      </c>
      <c r="AO25" s="607">
        <v>0</v>
      </c>
      <c r="AP25" s="607">
        <v>0</v>
      </c>
      <c r="AQ25" s="607">
        <v>0</v>
      </c>
      <c r="AR25" s="607">
        <v>0</v>
      </c>
      <c r="AS25" s="607">
        <v>0</v>
      </c>
      <c r="AT25" s="607">
        <v>0</v>
      </c>
      <c r="AU25" s="607">
        <v>0</v>
      </c>
      <c r="AV25" s="607">
        <v>0</v>
      </c>
      <c r="AW25" s="607">
        <v>0</v>
      </c>
      <c r="AX25" s="607">
        <v>0</v>
      </c>
      <c r="AY25" s="607">
        <v>0</v>
      </c>
      <c r="AZ25" s="607">
        <v>0</v>
      </c>
      <c r="BA25" s="607">
        <v>0</v>
      </c>
      <c r="BB25" s="607">
        <v>0</v>
      </c>
      <c r="BC25" s="607">
        <v>0</v>
      </c>
      <c r="BD25" s="607">
        <v>0</v>
      </c>
      <c r="BE25" s="607">
        <v>0</v>
      </c>
      <c r="BF25" s="607">
        <v>0</v>
      </c>
      <c r="BG25" s="607">
        <v>0</v>
      </c>
      <c r="BH25" s="607">
        <v>0</v>
      </c>
      <c r="BI25" s="607">
        <v>0</v>
      </c>
      <c r="BJ25" s="607">
        <v>0</v>
      </c>
      <c r="BK25" s="607">
        <v>0</v>
      </c>
      <c r="BL25" s="607">
        <v>0</v>
      </c>
      <c r="BM25" s="607">
        <v>0</v>
      </c>
      <c r="BN25" s="607">
        <v>0</v>
      </c>
      <c r="BO25" s="607">
        <v>0</v>
      </c>
      <c r="BP25" s="607">
        <v>0</v>
      </c>
      <c r="BQ25" s="607">
        <v>0</v>
      </c>
      <c r="BR25" s="607">
        <v>0</v>
      </c>
      <c r="BS25" s="607">
        <v>0</v>
      </c>
      <c r="BT25" s="607">
        <v>0</v>
      </c>
      <c r="BU25" s="607">
        <v>0</v>
      </c>
      <c r="BV25" s="607">
        <v>0</v>
      </c>
      <c r="BW25" s="607">
        <v>0</v>
      </c>
      <c r="BX25" s="607">
        <v>0</v>
      </c>
      <c r="BY25" s="607">
        <v>0</v>
      </c>
      <c r="BZ25" s="607">
        <v>0</v>
      </c>
      <c r="CA25" s="607">
        <v>0</v>
      </c>
      <c r="CB25" s="607">
        <v>0</v>
      </c>
      <c r="CC25" s="607">
        <v>0</v>
      </c>
      <c r="CD25" s="607">
        <v>0</v>
      </c>
      <c r="CE25" s="607">
        <v>0</v>
      </c>
      <c r="CF25" s="607">
        <v>0</v>
      </c>
      <c r="CG25" s="607">
        <v>0</v>
      </c>
      <c r="CH25" s="607">
        <v>0</v>
      </c>
      <c r="CI25" s="607">
        <v>0</v>
      </c>
      <c r="CJ25" s="607">
        <v>0</v>
      </c>
      <c r="CK25" s="607">
        <v>0</v>
      </c>
      <c r="CL25" s="607">
        <v>0</v>
      </c>
      <c r="CM25" s="607">
        <v>0</v>
      </c>
      <c r="CN25" s="607">
        <v>0</v>
      </c>
      <c r="CO25" s="607">
        <v>0</v>
      </c>
      <c r="CP25" s="607">
        <v>0</v>
      </c>
      <c r="CQ25" s="607">
        <v>0</v>
      </c>
      <c r="CR25" s="607">
        <v>0</v>
      </c>
      <c r="CS25" s="607">
        <v>0</v>
      </c>
      <c r="CT25" s="607">
        <v>0</v>
      </c>
      <c r="CU25" s="607">
        <v>0</v>
      </c>
      <c r="CV25" s="607">
        <v>0</v>
      </c>
      <c r="CW25" s="607">
        <v>0</v>
      </c>
      <c r="CX25" s="607">
        <v>0</v>
      </c>
      <c r="CY25" s="607">
        <v>0</v>
      </c>
      <c r="CZ25" s="607">
        <v>0</v>
      </c>
      <c r="DA25" s="607">
        <v>0</v>
      </c>
      <c r="DB25" s="607">
        <v>0</v>
      </c>
      <c r="DC25" s="607">
        <v>0</v>
      </c>
      <c r="DD25" s="607">
        <v>0</v>
      </c>
      <c r="DE25" s="607">
        <v>0</v>
      </c>
      <c r="DF25" s="607">
        <v>0</v>
      </c>
      <c r="DG25" s="607">
        <v>0</v>
      </c>
      <c r="DH25" s="607">
        <v>0</v>
      </c>
      <c r="DI25" s="607">
        <v>0</v>
      </c>
      <c r="DJ25" s="607">
        <v>0</v>
      </c>
      <c r="DK25" s="607">
        <v>0</v>
      </c>
      <c r="DL25" s="607">
        <v>0</v>
      </c>
      <c r="DM25" s="607">
        <v>0</v>
      </c>
      <c r="DN25" s="607">
        <v>0</v>
      </c>
      <c r="DO25" s="607">
        <v>0</v>
      </c>
      <c r="DP25" s="607">
        <v>0</v>
      </c>
      <c r="DQ25" s="607">
        <v>0</v>
      </c>
      <c r="DR25" s="607">
        <v>0</v>
      </c>
      <c r="DS25" s="607">
        <v>0</v>
      </c>
      <c r="DT25" s="607">
        <v>0</v>
      </c>
      <c r="DU25" s="607">
        <v>0</v>
      </c>
      <c r="DV25" s="607">
        <v>0</v>
      </c>
      <c r="DW25" s="607">
        <v>0</v>
      </c>
      <c r="DX25" s="607">
        <v>0</v>
      </c>
      <c r="DY25" s="607">
        <v>0</v>
      </c>
      <c r="DZ25" s="607">
        <v>0</v>
      </c>
      <c r="EA25" s="607">
        <v>0</v>
      </c>
      <c r="EB25" s="607">
        <v>0</v>
      </c>
      <c r="EC25" s="607">
        <v>0</v>
      </c>
      <c r="ED25" s="607">
        <v>0</v>
      </c>
      <c r="EE25" s="607">
        <v>0</v>
      </c>
      <c r="EF25" s="607">
        <v>0</v>
      </c>
      <c r="EG25" s="607">
        <v>0</v>
      </c>
      <c r="EH25" s="607">
        <v>0</v>
      </c>
      <c r="EI25" s="607">
        <v>0</v>
      </c>
      <c r="EJ25" s="607">
        <v>0</v>
      </c>
      <c r="EK25" s="607">
        <v>0</v>
      </c>
      <c r="EL25" s="607">
        <v>0</v>
      </c>
      <c r="EM25" s="607">
        <v>0</v>
      </c>
      <c r="EN25" s="607">
        <v>0</v>
      </c>
      <c r="EO25" s="607">
        <v>0</v>
      </c>
      <c r="EP25" s="607">
        <v>0</v>
      </c>
      <c r="EQ25" s="607">
        <v>0</v>
      </c>
      <c r="ER25" s="607">
        <v>0</v>
      </c>
      <c r="ES25" s="607">
        <v>0</v>
      </c>
      <c r="ET25" s="607">
        <v>0</v>
      </c>
      <c r="EU25" s="607">
        <v>0</v>
      </c>
      <c r="EV25" s="607">
        <v>0</v>
      </c>
      <c r="EW25" s="607">
        <v>0</v>
      </c>
      <c r="EX25" s="607">
        <v>0</v>
      </c>
      <c r="EY25" s="607">
        <v>0</v>
      </c>
      <c r="EZ25" s="607">
        <v>0</v>
      </c>
      <c r="FA25" s="607">
        <v>0</v>
      </c>
      <c r="FB25" s="607">
        <v>0</v>
      </c>
      <c r="FC25" s="607">
        <v>0</v>
      </c>
      <c r="FD25" s="607">
        <v>0</v>
      </c>
      <c r="FE25" s="607">
        <v>0</v>
      </c>
      <c r="FF25" s="607">
        <v>0</v>
      </c>
      <c r="FG25" s="607">
        <v>0</v>
      </c>
      <c r="FH25" s="607">
        <v>0</v>
      </c>
      <c r="FI25" s="607">
        <v>0</v>
      </c>
      <c r="FJ25" s="607">
        <v>0</v>
      </c>
      <c r="FK25" s="607">
        <v>0</v>
      </c>
      <c r="FL25" s="607">
        <v>0</v>
      </c>
      <c r="FM25" s="607">
        <v>0</v>
      </c>
      <c r="FN25" s="607">
        <v>0</v>
      </c>
      <c r="FO25" s="607">
        <v>0</v>
      </c>
      <c r="FP25" s="607">
        <v>0</v>
      </c>
      <c r="FQ25" s="607">
        <v>0</v>
      </c>
      <c r="FR25" s="607">
        <v>0</v>
      </c>
      <c r="FS25" s="607">
        <v>0</v>
      </c>
      <c r="FT25" s="607">
        <v>0</v>
      </c>
      <c r="FU25" s="607">
        <v>0</v>
      </c>
      <c r="FV25" s="607">
        <v>0</v>
      </c>
      <c r="FW25" s="607">
        <v>0</v>
      </c>
      <c r="FX25" s="607">
        <v>8</v>
      </c>
      <c r="FY25" s="607">
        <v>8</v>
      </c>
      <c r="FZ25" s="607">
        <v>8</v>
      </c>
      <c r="GA25" s="607">
        <v>8</v>
      </c>
      <c r="GB25" s="607">
        <v>8</v>
      </c>
      <c r="GC25" s="60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A906-FE6A-A16D-3DAD-0D164DEB8822}">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D5" sqref="D5:I22"/>
    </sheetView>
  </sheetViews>
  <sheetFormatPr defaultColWidth="10.5703125" defaultRowHeight="15" customHeight="1"/>
  <cols>
    <col min="1" max="2" width="9.140625" hidden="1" customWidth="1"/>
    <col min="3" max="3" width="4" customWidth="1"/>
    <col min="4" max="4" width="6" customWidth="1"/>
    <col min="5" max="5" width="36" customWidth="1"/>
    <col min="6" max="6" width="9" customWidth="1"/>
    <col min="7" max="7" width="42.42578125" hidden="1" customWidth="1"/>
    <col min="8" max="8" width="40.7109375" customWidth="1"/>
    <col min="9" max="9" width="93" customWidth="1"/>
    <col min="10" max="18" width="10" customWidth="1"/>
    <col min="19" max="19" width="10.5703125" hidden="1"/>
  </cols>
  <sheetData>
    <row r="1" spans="3:19" ht="15" hidden="1" customHeight="1">
      <c r="H1" s="37">
        <v>4</v>
      </c>
      <c r="S1" s="37" t="s">
        <v>14</v>
      </c>
    </row>
    <row r="2" spans="3:19" ht="22.5" hidden="1" customHeight="1">
      <c r="C2" s="588" t="s">
        <v>690</v>
      </c>
      <c r="D2" s="121"/>
      <c r="E2" s="273"/>
      <c r="F2" s="88" t="str">
        <f>IF(TEMPLATE_SPHERE="HEAT","Гкал/час","тыс. куб. м/сутки")</f>
        <v>Гкал/час</v>
      </c>
      <c r="G2" s="548"/>
      <c r="H2" s="548"/>
      <c r="I2" s="296"/>
      <c r="S2" s="17">
        <v>0</v>
      </c>
    </row>
    <row r="3" spans="3:19" ht="15" hidden="1" customHeight="1">
      <c r="S3" s="37">
        <v>0</v>
      </c>
    </row>
    <row r="4" spans="3:19" ht="15.75" customHeight="1">
      <c r="S4" s="17">
        <v>15</v>
      </c>
    </row>
    <row r="5" spans="3:19" ht="39.75" customHeight="1">
      <c r="D5" s="10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093"/>
      <c r="F5" s="1093"/>
      <c r="G5" s="1093"/>
      <c r="H5" s="1093"/>
      <c r="S5" s="17">
        <v>38</v>
      </c>
    </row>
    <row r="6" spans="3:19" ht="15.75" customHeight="1">
      <c r="D6" s="1066" t="str">
        <f>IF(org=0,"Не определено",org)</f>
        <v>ООО "ТВС"</v>
      </c>
      <c r="E6" s="1066"/>
      <c r="F6" s="1066"/>
      <c r="G6" s="1066"/>
      <c r="H6" s="1066"/>
      <c r="S6" s="17">
        <v>15</v>
      </c>
    </row>
    <row r="7" spans="3:19" ht="15.75" customHeight="1">
      <c r="H7" s="184"/>
      <c r="S7" s="17">
        <v>15</v>
      </c>
    </row>
    <row r="8" spans="3:19" ht="1.1499999999999999" customHeight="1">
      <c r="H8" s="37" t="s">
        <v>119</v>
      </c>
      <c r="S8" s="17">
        <v>1</v>
      </c>
    </row>
    <row r="9" spans="3:19" ht="15.75" customHeight="1">
      <c r="D9" s="449"/>
      <c r="E9" s="1197" t="s">
        <v>106</v>
      </c>
      <c r="F9" s="1198"/>
      <c r="G9" s="583" t="str">
        <f>IF(G8="","",INDEX(DIFFERENTIATION_UNMERGE_VD,MATCH(G8,DIFFERENTIATION_ID_DIFF,0)))</f>
        <v/>
      </c>
      <c r="H9" s="583" t="str">
        <f>IF(H8="","",INDEX(DIFFERENTIATION_UNMERGE_VD,MATCH(H8,DIFFERENTIATION_ID_DIFF,0)))</f>
        <v>Подключение (технологическое присоединение) к системе теплоснабжения</v>
      </c>
      <c r="I9" s="995" t="s">
        <v>302</v>
      </c>
      <c r="S9" s="17">
        <v>15</v>
      </c>
    </row>
    <row r="10" spans="3:19" ht="15.75" customHeight="1">
      <c r="D10" s="449"/>
      <c r="E10" s="1197" t="s">
        <v>565</v>
      </c>
      <c r="F10" s="1198"/>
      <c r="G10" s="583" t="str">
        <f>IF(G8="","",INDEX(DIFFERENTIATION_UNMERGE_AREA,MATCH(G8,DIFFERENTIATION_ID_DIFF,0)))</f>
        <v/>
      </c>
      <c r="H10" s="583" t="str">
        <f>IF(H8="","",INDEX(DIFFERENTIATION_UNMERGE_AREA,MATCH(H8,DIFFERENTIATION_ID_DIFF,0)))</f>
        <v>Территория 1</v>
      </c>
      <c r="I10" s="995"/>
      <c r="S10" s="17">
        <v>15</v>
      </c>
    </row>
    <row r="11" spans="3:19" ht="39" customHeight="1">
      <c r="D11" s="449"/>
      <c r="E11" s="1197" t="s">
        <v>566</v>
      </c>
      <c r="F11" s="1198"/>
      <c r="G11" s="583" t="str">
        <f>IF(G8="","",INDEX(DIFFERENTIATION_UNMERGE_SYSTEM,MATCH(G8,DIFFERENTIATION_ID_DIFF,0)))</f>
        <v/>
      </c>
      <c r="H11" s="583" t="str">
        <f>IF(H8="","",INDEX(DIFFERENTIATION_UNMERGE_SYSTEM,MATCH(H8,DIFFERENTIATION_ID_DIFF,0)))</f>
        <v>в зоне поставки котельной, расположенной по адресу: г. Москва, поселение Московский, Передельцевский проезд, стр.2</v>
      </c>
      <c r="I11" s="995"/>
      <c r="S11" s="17">
        <v>15</v>
      </c>
    </row>
    <row r="12" spans="3:19" ht="15.75" customHeight="1">
      <c r="D12" s="1199" t="s">
        <v>301</v>
      </c>
      <c r="E12" s="1200"/>
      <c r="F12" s="1200"/>
      <c r="G12" s="450"/>
      <c r="H12" s="450"/>
      <c r="I12" s="995"/>
      <c r="S12" s="17">
        <v>15</v>
      </c>
    </row>
    <row r="13" spans="3:19" ht="35.65" customHeight="1">
      <c r="D13" s="88" t="s">
        <v>88</v>
      </c>
      <c r="E13" s="88" t="s">
        <v>303</v>
      </c>
      <c r="F13" s="88" t="s">
        <v>567</v>
      </c>
      <c r="G13" s="22" t="s">
        <v>304</v>
      </c>
      <c r="H13" s="22" t="s">
        <v>304</v>
      </c>
      <c r="I13" s="995"/>
      <c r="S13" s="17">
        <v>34</v>
      </c>
    </row>
    <row r="14" spans="3:19" ht="15" hidden="1" customHeight="1">
      <c r="D14" s="625" t="s">
        <v>110</v>
      </c>
      <c r="E14" s="625" t="s">
        <v>111</v>
      </c>
      <c r="F14" s="625" t="s">
        <v>90</v>
      </c>
      <c r="G14" s="588" t="str">
        <f>G1&amp;".1"</f>
        <v>.1</v>
      </c>
      <c r="H14" s="588" t="str">
        <f>H1&amp;".1"</f>
        <v>4.1</v>
      </c>
      <c r="I14" s="296"/>
      <c r="S14" s="17">
        <v>0</v>
      </c>
    </row>
    <row r="15" spans="3:19" ht="15.75" customHeight="1">
      <c r="D15" s="88">
        <v>1</v>
      </c>
      <c r="E15" s="140" t="str">
        <f>TP_P_A</f>
        <v>Количество поданных заявок</v>
      </c>
      <c r="F15" s="88" t="s">
        <v>1117</v>
      </c>
      <c r="G15" s="626"/>
      <c r="H15" s="626">
        <v>0</v>
      </c>
      <c r="I15" s="52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7">
        <v>15</v>
      </c>
    </row>
    <row r="16" spans="3:19" ht="15.75" customHeight="1">
      <c r="D16" s="88">
        <v>2</v>
      </c>
      <c r="E16" s="140" t="str">
        <f>TP_P_B</f>
        <v>Количество рассмотренных заявок</v>
      </c>
      <c r="F16" s="88" t="s">
        <v>1117</v>
      </c>
      <c r="G16" s="626"/>
      <c r="H16" s="626">
        <v>0</v>
      </c>
      <c r="I16" s="52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7">
        <v>15</v>
      </c>
    </row>
    <row r="17" spans="1:19" ht="77.650000000000006" customHeight="1">
      <c r="D17" s="88">
        <v>3</v>
      </c>
      <c r="E17" s="1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8" t="s">
        <v>1117</v>
      </c>
      <c r="G17" s="626"/>
      <c r="H17" s="626">
        <v>0</v>
      </c>
      <c r="I17" s="527" t="str">
        <f>TP_P_NOTE_V</f>
        <v>Указывается количество заявок с решением об отказе в течение отчетного квартала.</v>
      </c>
      <c r="S17" s="17">
        <v>74</v>
      </c>
    </row>
    <row r="18" spans="1:19" ht="54.75" customHeight="1">
      <c r="D18" s="88">
        <v>4</v>
      </c>
      <c r="E18" s="140" t="str">
        <f>TP_P_V_1</f>
        <v>Причины отказа в заключении договора о подключении (технологическом присоединении) к системе теплоснабжения</v>
      </c>
      <c r="F18" s="88" t="s">
        <v>307</v>
      </c>
      <c r="G18" s="425"/>
      <c r="H18" s="425"/>
      <c r="I18" s="14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7">
        <v>52</v>
      </c>
    </row>
    <row r="19" spans="1:19" ht="60" customHeight="1">
      <c r="D19" s="88">
        <v>5</v>
      </c>
      <c r="E19" s="140" t="str">
        <f>TP_P_G</f>
        <v>Резерв мощности источников тепловой энергии, входящих в систему теплоснабжения, в течение одного квартала, в том числе:</v>
      </c>
      <c r="F19" s="88" t="str">
        <f>IF(TEMPLATE_SPHERE="HEAT","Гкал/час","тыс. куб. м/сутки")</f>
        <v>Гкал/час</v>
      </c>
      <c r="G19" s="627">
        <f>SUM(G20:G22)</f>
        <v>0</v>
      </c>
      <c r="H19" s="627">
        <f>SUM(H20:H22)</f>
        <v>6.6</v>
      </c>
      <c r="I19" s="527"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7">
        <v>57</v>
      </c>
    </row>
    <row r="20" spans="1:19" ht="15" hidden="1" customHeight="1">
      <c r="D20" s="17" t="s">
        <v>1118</v>
      </c>
      <c r="I20" s="628"/>
      <c r="S20" s="17">
        <v>0</v>
      </c>
    </row>
    <row r="21" spans="1:19" ht="29.25" customHeight="1">
      <c r="D21" s="121" t="s">
        <v>314</v>
      </c>
      <c r="E21" s="43" t="s">
        <v>1119</v>
      </c>
      <c r="F21" s="88" t="str">
        <f>IF(TEMPLATE_SPHERE="HEAT","Гкал/час","тыс. куб. м/сутки")</f>
        <v>Гкал/час</v>
      </c>
      <c r="G21" s="548"/>
      <c r="H21" s="548">
        <v>6.6</v>
      </c>
      <c r="I21" s="103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7">
        <v>28</v>
      </c>
    </row>
    <row r="22" spans="1:19" ht="38.25" customHeight="1">
      <c r="D22" s="534"/>
      <c r="E22" s="100" t="s">
        <v>1120</v>
      </c>
      <c r="F22" s="463"/>
      <c r="G22" s="463"/>
      <c r="H22" s="463"/>
      <c r="I22" s="1033"/>
      <c r="S22" s="17">
        <v>15</v>
      </c>
    </row>
    <row r="23" spans="1:19" ht="22.5" hidden="1" customHeight="1">
      <c r="A23" s="15" t="s">
        <v>82</v>
      </c>
      <c r="B23" s="17">
        <v>0</v>
      </c>
      <c r="C23" s="588">
        <v>4</v>
      </c>
      <c r="D23" s="17">
        <v>6</v>
      </c>
      <c r="E23" s="17">
        <v>36</v>
      </c>
      <c r="F23" s="17">
        <v>9</v>
      </c>
      <c r="G23" s="17">
        <v>0</v>
      </c>
      <c r="H23" s="17">
        <v>40</v>
      </c>
      <c r="I23" s="37">
        <v>93</v>
      </c>
      <c r="J23" s="17">
        <v>10</v>
      </c>
      <c r="K23" s="17">
        <v>10</v>
      </c>
      <c r="L23" s="17">
        <v>10</v>
      </c>
      <c r="M23" s="17">
        <v>10</v>
      </c>
      <c r="N23" s="17">
        <v>10</v>
      </c>
      <c r="O23" s="17">
        <v>10</v>
      </c>
      <c r="P23" s="17">
        <v>10</v>
      </c>
      <c r="Q23" s="17">
        <v>10</v>
      </c>
      <c r="R23" s="589">
        <v>10</v>
      </c>
      <c r="S23" s="17">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0866141732283472" right="0.70866141732283472" top="0.74803149606299213" bottom="0.74803149606299213" header="0.31496062992125984" footer="0.31496062992125984"/>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D8E1-E65A-F7C4-2036-2FEF02AC9615}">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2" width="9.140625" hidden="1" customWidth="1"/>
    <col min="3" max="3" width="3" customWidth="1"/>
    <col min="4" max="4" width="6" customWidth="1"/>
    <col min="5" max="6" width="64" customWidth="1"/>
    <col min="7" max="7" width="140" customWidth="1"/>
    <col min="8" max="16" width="10" customWidth="1"/>
    <col min="17" max="17" width="10.5703125" hidden="1"/>
  </cols>
  <sheetData>
    <row r="1" spans="3:17" ht="22.5" hidden="1" customHeight="1">
      <c r="Q1" s="17" t="s">
        <v>14</v>
      </c>
    </row>
    <row r="2" spans="3:17" ht="14.25" hidden="1" customHeight="1">
      <c r="Q2" s="17">
        <v>0</v>
      </c>
    </row>
    <row r="3" spans="3:17" ht="14.25" hidden="1" customHeight="1">
      <c r="Q3" s="17">
        <v>0</v>
      </c>
    </row>
    <row r="4" spans="3:17" ht="3" customHeight="1">
      <c r="C4" s="333"/>
      <c r="D4" s="38"/>
      <c r="E4" s="38"/>
      <c r="F4" s="528"/>
      <c r="G4" s="528"/>
      <c r="Q4" s="17">
        <v>3</v>
      </c>
    </row>
    <row r="5" spans="3:17" ht="29.25" customHeight="1">
      <c r="C5" s="333"/>
      <c r="D5" s="103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038"/>
      <c r="F5" s="1038"/>
      <c r="G5" s="1039"/>
      <c r="Q5" s="17">
        <v>28</v>
      </c>
    </row>
    <row r="6" spans="3:17" ht="18.75" customHeight="1">
      <c r="C6" s="333"/>
      <c r="D6" s="1087" t="str">
        <f>IF(org=0,"Не определено",org)</f>
        <v>ООО "ТВС"</v>
      </c>
      <c r="E6" s="1088"/>
      <c r="F6" s="1088"/>
      <c r="G6" s="1089"/>
      <c r="Q6" s="17">
        <v>18</v>
      </c>
    </row>
    <row r="7" spans="3:17" ht="14.65" customHeight="1">
      <c r="C7" s="333"/>
      <c r="D7" s="38"/>
      <c r="E7" s="31"/>
      <c r="F7" s="184"/>
      <c r="G7" s="529"/>
      <c r="Q7" s="17">
        <v>14</v>
      </c>
    </row>
    <row r="8" spans="3:17" ht="1.1499999999999999" customHeight="1">
      <c r="C8" s="333"/>
      <c r="D8" s="38"/>
      <c r="E8" s="31"/>
      <c r="F8" s="184"/>
      <c r="G8" s="529"/>
      <c r="Q8" s="17">
        <v>1</v>
      </c>
    </row>
    <row r="9" spans="3:17" ht="14.65" customHeight="1">
      <c r="C9" s="333"/>
      <c r="D9" s="1073" t="s">
        <v>301</v>
      </c>
      <c r="E9" s="1073"/>
      <c r="F9" s="1073"/>
      <c r="G9" s="1212" t="s">
        <v>302</v>
      </c>
      <c r="Q9" s="17">
        <v>14</v>
      </c>
    </row>
    <row r="10" spans="3:17" ht="24" customHeight="1">
      <c r="C10" s="333"/>
      <c r="D10" s="189" t="s">
        <v>88</v>
      </c>
      <c r="E10" s="134" t="s">
        <v>303</v>
      </c>
      <c r="F10" s="134" t="s">
        <v>391</v>
      </c>
      <c r="G10" s="1212"/>
      <c r="Q10" s="17">
        <v>23</v>
      </c>
    </row>
    <row r="11" spans="3:17" ht="12" hidden="1" customHeight="1">
      <c r="C11" s="333"/>
      <c r="D11" s="253"/>
      <c r="E11" s="253"/>
      <c r="F11" s="253"/>
      <c r="G11" s="253"/>
      <c r="Q11" s="17">
        <v>0</v>
      </c>
    </row>
    <row r="12" spans="3:17" ht="65.25" customHeight="1">
      <c r="C12" s="333"/>
      <c r="D12" s="186">
        <v>1</v>
      </c>
      <c r="E12" s="62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307</v>
      </c>
      <c r="G12" s="296"/>
      <c r="Q12" s="17">
        <v>62</v>
      </c>
    </row>
    <row r="13" spans="3:17" ht="24" customHeight="1">
      <c r="C13" s="333"/>
      <c r="D13" s="186" t="s">
        <v>1024</v>
      </c>
      <c r="E13" s="59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296"/>
      <c r="Q13" s="17">
        <v>23</v>
      </c>
    </row>
    <row r="14" spans="3:17" ht="14.65" customHeight="1">
      <c r="C14" s="333"/>
      <c r="D14" s="186" t="s">
        <v>1060</v>
      </c>
      <c r="E14" s="630"/>
      <c r="F14" s="287"/>
      <c r="G14" s="103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
        <v>14</v>
      </c>
    </row>
    <row r="15" spans="3:17" ht="15.75" customHeight="1">
      <c r="C15" s="333"/>
      <c r="D15" s="534"/>
      <c r="E15" s="132" t="s">
        <v>1121</v>
      </c>
      <c r="F15" s="535"/>
      <c r="G15" s="1033"/>
      <c r="Q15" s="17">
        <v>15</v>
      </c>
    </row>
    <row r="16" spans="3:17" ht="14.65" customHeight="1">
      <c r="C16" s="333"/>
      <c r="D16" s="186" t="s">
        <v>1026</v>
      </c>
      <c r="E16" s="59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307</v>
      </c>
      <c r="G16" s="341"/>
      <c r="Q16" s="17">
        <v>14</v>
      </c>
    </row>
    <row r="17" spans="1:17" ht="14.65" customHeight="1">
      <c r="C17" s="333"/>
      <c r="D17" s="186" t="s">
        <v>1068</v>
      </c>
      <c r="E17" s="630"/>
      <c r="F17" s="525"/>
      <c r="G17" s="103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7">
        <v>14</v>
      </c>
    </row>
    <row r="18" spans="1:17" ht="21.95" customHeight="1">
      <c r="C18" s="333"/>
      <c r="D18" s="534"/>
      <c r="E18" s="132" t="s">
        <v>1122</v>
      </c>
      <c r="F18" s="631"/>
      <c r="G18" s="1033"/>
      <c r="Q18" s="17">
        <v>21</v>
      </c>
    </row>
    <row r="19" spans="1:17" ht="256.5" hidden="1" customHeight="1">
      <c r="C19" s="333"/>
      <c r="D19" s="186" t="s">
        <v>1028</v>
      </c>
      <c r="E19" s="591" t="s">
        <v>1123</v>
      </c>
      <c r="F19" s="525"/>
      <c r="G19" s="341" t="s">
        <v>1124</v>
      </c>
      <c r="Q19" s="17">
        <v>0</v>
      </c>
    </row>
    <row r="20" spans="1:17" ht="14.65" customHeight="1">
      <c r="C20" s="333"/>
      <c r="D20" s="188">
        <v>2</v>
      </c>
      <c r="E20" s="591" t="s">
        <v>1125</v>
      </c>
      <c r="F20" s="134" t="s">
        <v>307</v>
      </c>
      <c r="G20" s="341"/>
      <c r="Q20" s="17">
        <v>14</v>
      </c>
    </row>
    <row r="21" spans="1:17" ht="18.75" hidden="1" customHeight="1">
      <c r="C21" s="333"/>
      <c r="D21" s="632" t="s">
        <v>637</v>
      </c>
      <c r="E21" s="633"/>
      <c r="F21" s="634"/>
      <c r="G21" s="635"/>
      <c r="Q21" s="17">
        <v>0</v>
      </c>
    </row>
    <row r="22" spans="1:17" ht="15.75" customHeight="1">
      <c r="C22" s="333"/>
      <c r="D22" s="534"/>
      <c r="E22" s="100" t="s">
        <v>323</v>
      </c>
      <c r="F22" s="631"/>
      <c r="G22" s="488"/>
      <c r="Q22" s="17">
        <v>15</v>
      </c>
    </row>
    <row r="23" spans="1:17" ht="22.5" hidden="1" customHeight="1">
      <c r="C23" s="333"/>
      <c r="D23" s="186" t="s">
        <v>111</v>
      </c>
      <c r="E23" s="629" t="s">
        <v>1126</v>
      </c>
      <c r="F23" s="134" t="s">
        <v>307</v>
      </c>
      <c r="G23" s="296"/>
      <c r="Q23" s="17">
        <v>0</v>
      </c>
    </row>
    <row r="24" spans="1:17" ht="14.25" hidden="1" customHeight="1">
      <c r="C24" s="333"/>
      <c r="D24" s="186" t="s">
        <v>710</v>
      </c>
      <c r="E24" s="591" t="s">
        <v>1127</v>
      </c>
      <c r="F24" s="134" t="s">
        <v>307</v>
      </c>
      <c r="G24" s="341"/>
      <c r="Q24" s="17">
        <v>0</v>
      </c>
    </row>
    <row r="25" spans="1:17" ht="14.25" hidden="1" customHeight="1">
      <c r="C25" s="333"/>
      <c r="D25" s="186" t="s">
        <v>713</v>
      </c>
      <c r="E25" s="630"/>
      <c r="F25" s="525"/>
      <c r="G25" s="1031" t="s">
        <v>1128</v>
      </c>
      <c r="Q25" s="17">
        <v>0</v>
      </c>
    </row>
    <row r="26" spans="1:17" ht="22.5" hidden="1" customHeight="1">
      <c r="C26" s="333"/>
      <c r="D26" s="534"/>
      <c r="E26" s="132" t="s">
        <v>1129</v>
      </c>
      <c r="F26" s="631"/>
      <c r="G26" s="1033"/>
      <c r="Q26" s="17">
        <v>0</v>
      </c>
    </row>
    <row r="27" spans="1:17" ht="3" customHeight="1">
      <c r="Q27" s="17">
        <v>3</v>
      </c>
    </row>
    <row r="28" spans="1:17" ht="14.65" customHeight="1">
      <c r="Q28" s="17">
        <v>14</v>
      </c>
    </row>
    <row r="29" spans="1:17" ht="14.65" customHeight="1">
      <c r="Q29" s="17">
        <v>14</v>
      </c>
    </row>
    <row r="30" spans="1:17" ht="14.65" customHeight="1">
      <c r="Q30" s="17">
        <v>14</v>
      </c>
    </row>
    <row r="31" spans="1:17" ht="14.65" customHeight="1">
      <c r="Q31" s="17">
        <v>14</v>
      </c>
    </row>
    <row r="32" spans="1:17" ht="22.5" hidden="1" customHeight="1">
      <c r="A32" s="356" t="s">
        <v>82</v>
      </c>
      <c r="B32" s="37">
        <v>0</v>
      </c>
      <c r="C32" s="357">
        <v>3</v>
      </c>
      <c r="D32" s="17">
        <v>6</v>
      </c>
      <c r="E32" s="17">
        <v>64</v>
      </c>
      <c r="F32" s="17">
        <v>64</v>
      </c>
      <c r="G32" s="17">
        <v>140</v>
      </c>
      <c r="H32" s="17">
        <v>10</v>
      </c>
      <c r="I32" s="87">
        <v>10</v>
      </c>
      <c r="J32" s="87">
        <v>10</v>
      </c>
      <c r="K32" s="17">
        <v>10</v>
      </c>
      <c r="L32" s="17">
        <v>10</v>
      </c>
      <c r="M32" s="17">
        <v>10</v>
      </c>
      <c r="N32" s="17">
        <v>10</v>
      </c>
      <c r="O32" s="17">
        <v>10</v>
      </c>
      <c r="P32" s="17">
        <v>10</v>
      </c>
      <c r="Q32" s="17">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D135D-029A-BF0E-3502-957C5D1E6F0B}">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2" width="9.140625" hidden="1" customWidth="1"/>
    <col min="3" max="3" width="3" customWidth="1"/>
    <col min="4" max="4" width="6" customWidth="1"/>
    <col min="5" max="5" width="63" customWidth="1"/>
    <col min="6" max="6" width="1.7109375" hidden="1" customWidth="1"/>
    <col min="7" max="8" width="35" customWidth="1"/>
    <col min="9" max="9" width="91" customWidth="1"/>
    <col min="10" max="10" width="68" customWidth="1"/>
    <col min="11" max="12" width="10" customWidth="1"/>
    <col min="13" max="13" width="10.5703125" hidden="1"/>
  </cols>
  <sheetData>
    <row r="1" spans="3:13" ht="22.5" hidden="1" customHeight="1">
      <c r="M1" s="17" t="s">
        <v>14</v>
      </c>
    </row>
    <row r="2" spans="3:13" ht="18.75" hidden="1" customHeight="1">
      <c r="C2" s="526" t="s">
        <v>690</v>
      </c>
      <c r="D2" s="186"/>
      <c r="E2" s="636"/>
      <c r="F2" s="134"/>
      <c r="G2" s="134" t="s">
        <v>307</v>
      </c>
      <c r="H2" s="287"/>
      <c r="M2" s="17">
        <v>0</v>
      </c>
    </row>
    <row r="3" spans="3:13" ht="14.25" hidden="1" customHeight="1">
      <c r="M3" s="17">
        <v>0</v>
      </c>
    </row>
    <row r="4" spans="3:13" ht="18.75" hidden="1" customHeight="1">
      <c r="C4" s="526" t="s">
        <v>690</v>
      </c>
      <c r="D4" s="186"/>
      <c r="E4" s="591" t="s">
        <v>1130</v>
      </c>
      <c r="F4" s="134"/>
      <c r="G4" s="637"/>
      <c r="H4" s="134" t="s">
        <v>307</v>
      </c>
      <c r="M4" s="17">
        <v>0</v>
      </c>
    </row>
    <row r="5" spans="3:13" ht="14.25" hidden="1" customHeight="1">
      <c r="M5" s="17">
        <v>0</v>
      </c>
    </row>
    <row r="6" spans="3:13" ht="18.75" hidden="1" customHeight="1">
      <c r="C6" s="526" t="s">
        <v>690</v>
      </c>
      <c r="D6" s="186"/>
      <c r="E6" s="638" t="s">
        <v>1131</v>
      </c>
      <c r="F6" s="134"/>
      <c r="G6" s="637"/>
      <c r="H6" s="134" t="s">
        <v>307</v>
      </c>
      <c r="M6" s="17">
        <v>0</v>
      </c>
    </row>
    <row r="7" spans="3:13" ht="14.25" hidden="1" customHeight="1">
      <c r="M7" s="17">
        <v>0</v>
      </c>
    </row>
    <row r="8" spans="3:13" ht="18.75" hidden="1" customHeight="1">
      <c r="C8" s="526" t="s">
        <v>690</v>
      </c>
      <c r="D8" s="186"/>
      <c r="E8" s="638" t="s">
        <v>1132</v>
      </c>
      <c r="F8" s="134"/>
      <c r="G8" s="637"/>
      <c r="H8" s="134" t="s">
        <v>307</v>
      </c>
      <c r="M8" s="17">
        <v>0</v>
      </c>
    </row>
    <row r="9" spans="3:13" ht="14.25" hidden="1" customHeight="1">
      <c r="M9" s="17">
        <v>0</v>
      </c>
    </row>
    <row r="10" spans="3:13" ht="18.75" hidden="1" customHeight="1">
      <c r="C10" s="526" t="s">
        <v>690</v>
      </c>
      <c r="D10" s="186"/>
      <c r="E10" s="638" t="s">
        <v>1133</v>
      </c>
      <c r="F10" s="134"/>
      <c r="G10" s="226"/>
      <c r="H10" s="134" t="s">
        <v>307</v>
      </c>
      <c r="L10" s="87" t="s">
        <v>1134</v>
      </c>
      <c r="M10" s="17">
        <v>0</v>
      </c>
    </row>
    <row r="11" spans="3:13" ht="14.25" hidden="1" customHeight="1">
      <c r="M11" s="17">
        <v>0</v>
      </c>
    </row>
    <row r="12" spans="3:13" ht="14.25" hidden="1" customHeight="1">
      <c r="M12" s="17">
        <v>0</v>
      </c>
    </row>
    <row r="13" spans="3:13" ht="14.65" customHeight="1">
      <c r="C13" s="333"/>
      <c r="D13" s="38"/>
      <c r="E13" s="38"/>
      <c r="F13" s="38"/>
      <c r="G13" s="38"/>
      <c r="H13" s="528"/>
      <c r="I13" s="528"/>
      <c r="M13" s="17">
        <v>14</v>
      </c>
    </row>
    <row r="14" spans="3:13" ht="29.25" customHeight="1">
      <c r="C14" s="333"/>
      <c r="D14" s="103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038"/>
      <c r="F14" s="1038"/>
      <c r="G14" s="1038"/>
      <c r="H14" s="1039"/>
      <c r="M14" s="17">
        <v>28</v>
      </c>
    </row>
    <row r="15" spans="3:13" ht="14.65" customHeight="1">
      <c r="C15" s="333"/>
      <c r="D15" s="1087" t="str">
        <f>IF(org=0,"Не определено",org)</f>
        <v>ООО "ТВС"</v>
      </c>
      <c r="E15" s="1088"/>
      <c r="F15" s="1088"/>
      <c r="G15" s="1088"/>
      <c r="H15" s="1089"/>
      <c r="M15" s="17">
        <v>14</v>
      </c>
    </row>
    <row r="16" spans="3:13" ht="14.65" customHeight="1">
      <c r="C16" s="333"/>
      <c r="D16" s="38"/>
      <c r="E16" s="31"/>
      <c r="F16" s="31"/>
      <c r="G16" s="31"/>
      <c r="H16" s="184"/>
      <c r="I16" s="529"/>
      <c r="M16" s="17">
        <v>14</v>
      </c>
    </row>
    <row r="17" spans="1:13" ht="14.25" hidden="1" customHeight="1">
      <c r="C17" s="333"/>
      <c r="D17" s="38"/>
      <c r="E17" s="31"/>
      <c r="F17" s="31"/>
      <c r="G17" s="31"/>
      <c r="H17" s="184"/>
      <c r="I17" s="529"/>
      <c r="M17" s="17">
        <v>0</v>
      </c>
    </row>
    <row r="18" spans="1:13" ht="21.95" customHeight="1">
      <c r="C18" s="333"/>
      <c r="D18" s="1073" t="s">
        <v>301</v>
      </c>
      <c r="E18" s="1073"/>
      <c r="F18" s="1073"/>
      <c r="G18" s="1073"/>
      <c r="H18" s="1073"/>
      <c r="I18" s="1212" t="s">
        <v>302</v>
      </c>
      <c r="M18" s="17">
        <v>21</v>
      </c>
    </row>
    <row r="19" spans="1:13" ht="21.95" customHeight="1">
      <c r="C19" s="333"/>
      <c r="D19" s="189" t="s">
        <v>88</v>
      </c>
      <c r="E19" s="134" t="s">
        <v>303</v>
      </c>
      <c r="F19" s="134"/>
      <c r="G19" s="134" t="s">
        <v>304</v>
      </c>
      <c r="H19" s="134" t="s">
        <v>391</v>
      </c>
      <c r="I19" s="1212"/>
      <c r="M19" s="17">
        <v>21</v>
      </c>
    </row>
    <row r="20" spans="1:13" ht="12" hidden="1" customHeight="1">
      <c r="C20" s="333"/>
      <c r="D20" s="253"/>
      <c r="E20" s="253"/>
      <c r="F20" s="253"/>
      <c r="G20" s="253"/>
      <c r="H20" s="253"/>
      <c r="I20" s="253"/>
      <c r="M20" s="17">
        <v>0</v>
      </c>
    </row>
    <row r="21" spans="1:13" ht="14.65" customHeight="1">
      <c r="C21" s="333"/>
      <c r="D21" s="186">
        <v>1</v>
      </c>
      <c r="E21" s="1262" t="s">
        <v>1135</v>
      </c>
      <c r="F21" s="1262"/>
      <c r="G21" s="1262"/>
      <c r="H21" s="1262"/>
      <c r="I21" s="527"/>
      <c r="M21" s="17">
        <v>14</v>
      </c>
    </row>
    <row r="22" spans="1:13" ht="21" customHeight="1">
      <c r="C22" s="333"/>
      <c r="D22" s="186" t="s">
        <v>1024</v>
      </c>
      <c r="E22" s="591" t="s">
        <v>1136</v>
      </c>
      <c r="F22" s="134"/>
      <c r="G22" s="639"/>
      <c r="H22" s="134" t="s">
        <v>307</v>
      </c>
      <c r="I22" s="296" t="s">
        <v>1137</v>
      </c>
      <c r="M22" s="17">
        <v>20</v>
      </c>
    </row>
    <row r="23" spans="1:13" ht="60" customHeight="1">
      <c r="C23" s="333"/>
      <c r="D23" s="186" t="s">
        <v>1026</v>
      </c>
      <c r="E23" s="591" t="s">
        <v>1138</v>
      </c>
      <c r="F23" s="134"/>
      <c r="G23" s="637"/>
      <c r="H23" s="287"/>
      <c r="I23" s="140" t="s">
        <v>1139</v>
      </c>
      <c r="M23" s="17">
        <v>57</v>
      </c>
    </row>
    <row r="24" spans="1:13" ht="14.65" customHeight="1">
      <c r="B24" s="37">
        <v>3</v>
      </c>
      <c r="C24" s="333"/>
      <c r="D24" s="186">
        <v>2</v>
      </c>
      <c r="E24" s="53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307</v>
      </c>
      <c r="H24" s="287"/>
      <c r="I24" s="165" t="s">
        <v>632</v>
      </c>
      <c r="M24" s="17">
        <v>14</v>
      </c>
    </row>
    <row r="25" spans="1:13" ht="48.2" customHeight="1">
      <c r="C25" s="333"/>
      <c r="D25" s="186">
        <v>3</v>
      </c>
      <c r="E25" s="12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262"/>
      <c r="G25" s="1262"/>
      <c r="H25" s="1262"/>
      <c r="I25" s="527"/>
      <c r="M25" s="17">
        <v>46</v>
      </c>
    </row>
    <row r="26" spans="1:13" ht="14.65" customHeight="1">
      <c r="C26" s="333"/>
      <c r="D26" s="186" t="s">
        <v>325</v>
      </c>
      <c r="E26" s="636"/>
      <c r="F26" s="134"/>
      <c r="G26" s="134" t="s">
        <v>307</v>
      </c>
      <c r="H26" s="287"/>
      <c r="I26" s="1031" t="s">
        <v>1140</v>
      </c>
      <c r="M26" s="17">
        <v>14</v>
      </c>
    </row>
    <row r="27" spans="1:13" ht="15.75" customHeight="1">
      <c r="A27" s="640" t="s">
        <v>110</v>
      </c>
      <c r="C27" s="333"/>
      <c r="D27" s="534"/>
      <c r="E27" s="100" t="s">
        <v>323</v>
      </c>
      <c r="F27" s="132"/>
      <c r="G27" s="132"/>
      <c r="H27" s="535"/>
      <c r="I27" s="1033"/>
      <c r="M27" s="17">
        <v>15</v>
      </c>
    </row>
    <row r="28" spans="1:13" ht="39.75" customHeight="1">
      <c r="B28" s="37">
        <v>3</v>
      </c>
      <c r="C28" s="333"/>
      <c r="D28" s="186">
        <v>4</v>
      </c>
      <c r="E28" s="12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262"/>
      <c r="G28" s="1262"/>
      <c r="H28" s="1262"/>
      <c r="I28" s="527"/>
      <c r="M28" s="17">
        <v>38</v>
      </c>
    </row>
    <row r="29" spans="1:13" ht="21" customHeight="1">
      <c r="C29" s="333"/>
      <c r="D29" s="186" t="s">
        <v>755</v>
      </c>
      <c r="E29" s="591" t="s">
        <v>1130</v>
      </c>
      <c r="F29" s="134"/>
      <c r="G29" s="637"/>
      <c r="H29" s="134" t="s">
        <v>307</v>
      </c>
      <c r="I29" s="1031" t="s">
        <v>1141</v>
      </c>
      <c r="M29" s="17">
        <v>20</v>
      </c>
    </row>
    <row r="30" spans="1:13" ht="15.75" customHeight="1">
      <c r="A30" s="640" t="s">
        <v>111</v>
      </c>
      <c r="C30" s="333"/>
      <c r="D30" s="534"/>
      <c r="E30" s="100" t="s">
        <v>323</v>
      </c>
      <c r="F30" s="132"/>
      <c r="G30" s="132"/>
      <c r="H30" s="535"/>
      <c r="I30" s="1033"/>
      <c r="M30" s="17">
        <v>15</v>
      </c>
    </row>
    <row r="31" spans="1:13" ht="31.5" customHeight="1">
      <c r="B31" s="37">
        <v>3</v>
      </c>
      <c r="C31" s="333"/>
      <c r="D31" s="186">
        <v>5</v>
      </c>
      <c r="E31" s="12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262"/>
      <c r="G31" s="1262"/>
      <c r="H31" s="1262"/>
      <c r="I31" s="527"/>
      <c r="M31" s="17">
        <v>30</v>
      </c>
    </row>
    <row r="32" spans="1:13" ht="27.4" customHeight="1">
      <c r="C32" s="333"/>
      <c r="D32" s="186" t="s">
        <v>314</v>
      </c>
      <c r="E32" s="12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226"/>
      <c r="G32" s="1226"/>
      <c r="H32" s="1226"/>
      <c r="I32" s="527"/>
      <c r="M32" s="17">
        <v>26</v>
      </c>
    </row>
    <row r="33" spans="1:13" ht="14.65" customHeight="1">
      <c r="C33" s="333"/>
      <c r="D33" s="186" t="s">
        <v>1142</v>
      </c>
      <c r="E33" s="638" t="s">
        <v>1131</v>
      </c>
      <c r="F33" s="134"/>
      <c r="G33" s="637"/>
      <c r="H33" s="134" t="s">
        <v>307</v>
      </c>
      <c r="I33" s="1031" t="s">
        <v>1143</v>
      </c>
      <c r="M33" s="17">
        <v>14</v>
      </c>
    </row>
    <row r="34" spans="1:13" ht="15.75" customHeight="1">
      <c r="A34" s="640" t="s">
        <v>90</v>
      </c>
      <c r="C34" s="333"/>
      <c r="D34" s="534"/>
      <c r="E34" s="132" t="s">
        <v>323</v>
      </c>
      <c r="F34" s="430"/>
      <c r="G34" s="430"/>
      <c r="H34" s="535"/>
      <c r="I34" s="1033"/>
      <c r="M34" s="17">
        <v>15</v>
      </c>
    </row>
    <row r="35" spans="1:13" ht="25.15" customHeight="1">
      <c r="C35" s="333"/>
      <c r="D35" s="186" t="s">
        <v>883</v>
      </c>
      <c r="E35" s="12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226"/>
      <c r="G35" s="1226"/>
      <c r="H35" s="1226"/>
      <c r="I35" s="527"/>
      <c r="M35" s="17">
        <v>24</v>
      </c>
    </row>
    <row r="36" spans="1:13" ht="14.65" customHeight="1">
      <c r="C36" s="333"/>
      <c r="D36" s="186" t="s">
        <v>1144</v>
      </c>
      <c r="E36" s="638" t="s">
        <v>1132</v>
      </c>
      <c r="F36" s="134"/>
      <c r="G36" s="637"/>
      <c r="H36" s="134" t="s">
        <v>307</v>
      </c>
      <c r="I36" s="1014" t="s">
        <v>1145</v>
      </c>
      <c r="M36" s="17">
        <v>14</v>
      </c>
    </row>
    <row r="37" spans="1:13" ht="15.75" customHeight="1">
      <c r="A37" s="640" t="s">
        <v>91</v>
      </c>
      <c r="C37" s="333"/>
      <c r="D37" s="534"/>
      <c r="E37" s="132" t="s">
        <v>323</v>
      </c>
      <c r="F37" s="430"/>
      <c r="G37" s="430"/>
      <c r="H37" s="535"/>
      <c r="I37" s="1014"/>
      <c r="M37" s="17">
        <v>15</v>
      </c>
    </row>
    <row r="38" spans="1:13" ht="27.4" customHeight="1">
      <c r="C38" s="333"/>
      <c r="D38" s="186" t="s">
        <v>884</v>
      </c>
      <c r="E38" s="12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226"/>
      <c r="G38" s="1226"/>
      <c r="H38" s="1226"/>
      <c r="I38" s="527"/>
      <c r="M38" s="17">
        <v>26</v>
      </c>
    </row>
    <row r="39" spans="1:13" ht="14.65" customHeight="1">
      <c r="C39" s="333"/>
      <c r="D39" s="186" t="s">
        <v>885</v>
      </c>
      <c r="E39" s="638" t="s">
        <v>1133</v>
      </c>
      <c r="F39" s="134"/>
      <c r="G39" s="226"/>
      <c r="H39" s="134" t="s">
        <v>307</v>
      </c>
      <c r="I39" s="1031" t="s">
        <v>1146</v>
      </c>
      <c r="L39" s="87" t="s">
        <v>1134</v>
      </c>
      <c r="M39" s="17">
        <v>14</v>
      </c>
    </row>
    <row r="40" spans="1:13" ht="15.75" customHeight="1">
      <c r="A40" s="640" t="s">
        <v>112</v>
      </c>
      <c r="C40" s="333"/>
      <c r="D40" s="534"/>
      <c r="E40" s="132" t="s">
        <v>323</v>
      </c>
      <c r="F40" s="430"/>
      <c r="G40" s="430"/>
      <c r="H40" s="535"/>
      <c r="I40" s="1033"/>
      <c r="M40" s="17">
        <v>15</v>
      </c>
    </row>
    <row r="41" spans="1:13" ht="3" customHeight="1">
      <c r="M41" s="163">
        <v>3</v>
      </c>
    </row>
    <row r="42" spans="1:13" ht="26.25" customHeight="1">
      <c r="D42" s="543" t="s">
        <v>805</v>
      </c>
      <c r="E42" s="121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964"/>
      <c r="G42" s="964"/>
      <c r="H42" s="964"/>
      <c r="I42" s="964"/>
      <c r="M42" s="17">
        <v>25</v>
      </c>
    </row>
    <row r="43" spans="1:13" ht="22.5" hidden="1" customHeight="1">
      <c r="A43" s="41" t="s">
        <v>82</v>
      </c>
      <c r="B43" s="37">
        <v>0</v>
      </c>
      <c r="C43" s="357">
        <v>3</v>
      </c>
      <c r="D43" s="17">
        <v>6</v>
      </c>
      <c r="E43" s="17">
        <v>63</v>
      </c>
      <c r="F43" s="17">
        <v>0</v>
      </c>
      <c r="G43" s="17">
        <v>35</v>
      </c>
      <c r="H43" s="17">
        <v>35</v>
      </c>
      <c r="I43" s="17">
        <v>91</v>
      </c>
      <c r="J43" s="17">
        <v>68</v>
      </c>
      <c r="K43" s="87">
        <v>10</v>
      </c>
      <c r="L43" s="87">
        <v>10</v>
      </c>
      <c r="M43" s="17">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678A-7386-D04C-159E-65D29B647A4D}">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hidden="1" customWidth="1"/>
    <col min="3" max="3" width="9.140625" hidden="1" customWidth="1"/>
    <col min="4" max="4" width="3" customWidth="1"/>
    <col min="5" max="5" width="6" customWidth="1"/>
    <col min="6" max="6" width="46.7109375" customWidth="1"/>
    <col min="7" max="7" width="35" customWidth="1"/>
    <col min="8" max="8" width="3" customWidth="1"/>
    <col min="9" max="10" width="11" customWidth="1"/>
    <col min="11" max="12" width="35" customWidth="1"/>
    <col min="13" max="13" width="84" customWidth="1"/>
    <col min="14" max="33" width="10" customWidth="1"/>
    <col min="34" max="34" width="10.5703125" hidden="1"/>
  </cols>
  <sheetData>
    <row r="1" spans="1:34" ht="22.5" hidden="1" customHeight="1">
      <c r="N1" s="75">
        <f>IFERROR(MATCH("метод экономически обоснованных расходов (затрат)",OFFER_METHOD,0),0)</f>
        <v>0</v>
      </c>
      <c r="AH1" s="17" t="s">
        <v>14</v>
      </c>
    </row>
    <row r="2" spans="1:34" ht="18.75" hidden="1" customHeight="1">
      <c r="A2" s="163" t="s">
        <v>158</v>
      </c>
      <c r="B2" s="163" t="s">
        <v>159</v>
      </c>
      <c r="E2" s="343"/>
      <c r="F2" s="343"/>
      <c r="G2" s="1238" t="str">
        <f>INDEX(PT_DIFFERENTIATION_NTAR,MATCH(B2,PT_DIFFERENTIATION_NTAR_ID,0))</f>
        <v/>
      </c>
      <c r="H2" s="247"/>
      <c r="I2" s="641"/>
      <c r="J2" s="642"/>
      <c r="K2" s="378"/>
      <c r="L2" s="247" t="s">
        <v>307</v>
      </c>
      <c r="M2" s="395"/>
      <c r="AH2" s="17">
        <v>0</v>
      </c>
    </row>
    <row r="3" spans="1:34" ht="18.75" hidden="1" customHeight="1">
      <c r="C3" s="549" t="s">
        <v>1147</v>
      </c>
      <c r="E3" s="343"/>
      <c r="F3" s="343"/>
      <c r="G3" s="1238"/>
      <c r="H3" s="437"/>
      <c r="I3" s="105" t="s">
        <v>1148</v>
      </c>
      <c r="J3" s="132"/>
      <c r="K3" s="437"/>
      <c r="L3" s="535"/>
      <c r="M3" s="395"/>
      <c r="AH3" s="17">
        <v>0</v>
      </c>
    </row>
    <row r="4" spans="1:34" ht="14.25" hidden="1" customHeight="1">
      <c r="N4" s="75">
        <f>IFERROR(MATCH("метод экономически обоснованных расходов (затрат)",OFFER_METHOD,0),0)</f>
        <v>0</v>
      </c>
      <c r="AH4" s="17">
        <v>0</v>
      </c>
    </row>
    <row r="5" spans="1:34" ht="18.75" hidden="1" customHeight="1">
      <c r="A5" s="163" t="s">
        <v>158</v>
      </c>
      <c r="B5" s="163" t="s">
        <v>159</v>
      </c>
      <c r="E5" s="343"/>
      <c r="F5" s="343"/>
      <c r="G5" s="1238" t="str">
        <f>INDEX(PT_DIFFERENTIATION_NTAR,MATCH(B5,PT_DIFFERENTIATION_NTAR_ID,0))</f>
        <v/>
      </c>
      <c r="H5" s="247"/>
      <c r="I5" s="641"/>
      <c r="J5" s="642"/>
      <c r="K5" s="262"/>
      <c r="L5" s="247" t="s">
        <v>307</v>
      </c>
      <c r="M5" s="395"/>
      <c r="AH5" s="17">
        <v>0</v>
      </c>
    </row>
    <row r="6" spans="1:34" ht="18.75" hidden="1" customHeight="1">
      <c r="C6" s="549" t="s">
        <v>1149</v>
      </c>
      <c r="E6" s="343"/>
      <c r="F6" s="343"/>
      <c r="G6" s="1238"/>
      <c r="H6" s="437"/>
      <c r="I6" s="105" t="s">
        <v>1148</v>
      </c>
      <c r="J6" s="132"/>
      <c r="K6" s="437"/>
      <c r="L6" s="535"/>
      <c r="M6" s="395"/>
      <c r="AH6" s="17">
        <v>0</v>
      </c>
    </row>
    <row r="7" spans="1:34" ht="14.25" hidden="1" customHeight="1">
      <c r="N7" s="75">
        <f>IFERROR(MATCH("метод экономически обоснованных расходов (затрат)",OFFER_METHOD,0),0)</f>
        <v>0</v>
      </c>
      <c r="AH7" s="17">
        <v>0</v>
      </c>
    </row>
    <row r="8" spans="1:34" ht="56.25" hidden="1" customHeight="1">
      <c r="E8" s="343"/>
      <c r="F8" s="343"/>
      <c r="G8" s="343"/>
      <c r="H8" s="247"/>
      <c r="I8" s="641"/>
      <c r="J8" s="642"/>
      <c r="K8" s="378"/>
      <c r="L8" s="247" t="s">
        <v>307</v>
      </c>
      <c r="M8" s="395"/>
      <c r="AH8" s="17">
        <v>0</v>
      </c>
    </row>
    <row r="9" spans="1:34" ht="14.25" hidden="1" customHeight="1">
      <c r="AH9" s="17">
        <v>0</v>
      </c>
    </row>
    <row r="10" spans="1:34" ht="56.25" hidden="1" customHeight="1">
      <c r="E10" s="343"/>
      <c r="F10" s="343"/>
      <c r="G10" s="343"/>
      <c r="H10" s="134"/>
      <c r="I10" s="641"/>
      <c r="J10" s="642"/>
      <c r="K10" s="262"/>
      <c r="L10" s="247" t="s">
        <v>307</v>
      </c>
      <c r="M10" s="395"/>
      <c r="AH10" s="17">
        <v>0</v>
      </c>
    </row>
    <row r="11" spans="1:34" ht="14.25" hidden="1" customHeight="1">
      <c r="AH11" s="17">
        <v>0</v>
      </c>
    </row>
    <row r="12" spans="1:34" ht="14.25" hidden="1" customHeight="1">
      <c r="AH12" s="17">
        <v>0</v>
      </c>
    </row>
    <row r="13" spans="1:34" ht="6.4" customHeight="1">
      <c r="D13" s="333"/>
      <c r="E13" s="38"/>
      <c r="F13" s="38"/>
      <c r="G13" s="38"/>
      <c r="H13" s="38"/>
      <c r="I13" s="38"/>
      <c r="J13" s="38"/>
      <c r="K13" s="38"/>
      <c r="L13" s="528"/>
      <c r="M13" s="528"/>
      <c r="AH13" s="17">
        <v>6</v>
      </c>
    </row>
    <row r="14" spans="1:34" ht="14.65" customHeight="1">
      <c r="D14" s="333"/>
      <c r="E14" s="12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264"/>
      <c r="G14" s="1264"/>
      <c r="H14" s="1264"/>
      <c r="I14" s="1264"/>
      <c r="J14" s="1264"/>
      <c r="K14" s="1264"/>
      <c r="L14" s="1264"/>
      <c r="AH14" s="17">
        <v>14</v>
      </c>
    </row>
    <row r="15" spans="1:34" ht="6.4" customHeight="1">
      <c r="D15" s="333"/>
      <c r="E15" s="38"/>
      <c r="F15" s="31"/>
      <c r="G15" s="31"/>
      <c r="H15" s="31"/>
      <c r="I15" s="31"/>
      <c r="J15" s="31"/>
      <c r="K15" s="31"/>
      <c r="L15" s="335"/>
      <c r="M15" s="529"/>
      <c r="AH15" s="17">
        <v>6</v>
      </c>
    </row>
    <row r="16" spans="1:34" ht="24" customHeight="1">
      <c r="D16" s="333"/>
      <c r="E16" s="38"/>
      <c r="F16" s="643" t="str">
        <f>"Дата подачи заявления об "&amp;IF(TITLE_DATE_PR_CHANGE="","утверждении","изменении")&amp;" тарифов"</f>
        <v>Дата подачи заявления об утверждении тарифов</v>
      </c>
      <c r="G16" s="1104" t="str">
        <f>IF(TITLE_DATE_PR_CHANGE="",IF(TITLE_DATE_PR="","",TITLE_DATE_PR),TITLE_DATE_PR_CHANGE)</f>
        <v/>
      </c>
      <c r="H16" s="1104"/>
      <c r="I16" s="1104"/>
      <c r="J16" s="1104"/>
      <c r="K16" s="1104"/>
      <c r="L16" s="1104"/>
      <c r="AH16" s="17">
        <v>23</v>
      </c>
    </row>
    <row r="17" spans="1:34" ht="24" customHeight="1">
      <c r="D17" s="333"/>
      <c r="E17" s="38"/>
      <c r="F17" s="643" t="str">
        <f>"Номер подачи заявления об "&amp;IF(TITLE_DATE_PR_CHANGE="","утверждении","изменении")&amp;" тарифов"</f>
        <v>Номер подачи заявления об утверждении тарифов</v>
      </c>
      <c r="G17" s="1105" t="str">
        <f>IF(TITLE_NUMBER_PR_CHANGE="",IF(TITLE_NUMBER_PR="","",TITLE_NUMBER_PR),TITLE_NUMBER_PR_CHANGE)</f>
        <v/>
      </c>
      <c r="H17" s="1105"/>
      <c r="I17" s="1105"/>
      <c r="J17" s="1105"/>
      <c r="K17" s="1105"/>
      <c r="L17" s="1105"/>
      <c r="AH17" s="17">
        <v>23</v>
      </c>
    </row>
    <row r="18" spans="1:34" ht="14.65" customHeight="1">
      <c r="D18" s="333"/>
      <c r="E18" s="38"/>
      <c r="F18" s="31"/>
      <c r="G18" s="31"/>
      <c r="H18" s="31"/>
      <c r="I18" s="31"/>
      <c r="J18" s="31"/>
      <c r="K18" s="31"/>
      <c r="L18" s="184"/>
      <c r="M18" s="529"/>
      <c r="AH18" s="17">
        <v>14</v>
      </c>
    </row>
    <row r="19" spans="1:34" ht="21.95" customHeight="1">
      <c r="D19" s="333"/>
      <c r="E19" s="1073" t="s">
        <v>301</v>
      </c>
      <c r="F19" s="1073"/>
      <c r="G19" s="1073"/>
      <c r="H19" s="1073"/>
      <c r="I19" s="1073"/>
      <c r="J19" s="1073"/>
      <c r="K19" s="1073"/>
      <c r="L19" s="1073"/>
      <c r="M19" s="1212" t="s">
        <v>302</v>
      </c>
      <c r="AH19" s="17">
        <v>21</v>
      </c>
    </row>
    <row r="20" spans="1:34" ht="21.95" customHeight="1">
      <c r="D20" s="333"/>
      <c r="E20" s="1128" t="s">
        <v>88</v>
      </c>
      <c r="F20" s="1079" t="s">
        <v>125</v>
      </c>
      <c r="G20" s="1079" t="s">
        <v>126</v>
      </c>
      <c r="H20" s="1209" t="s">
        <v>1150</v>
      </c>
      <c r="I20" s="1210"/>
      <c r="J20" s="1240"/>
      <c r="K20" s="1079" t="s">
        <v>304</v>
      </c>
      <c r="L20" s="1079" t="s">
        <v>391</v>
      </c>
      <c r="M20" s="1212"/>
      <c r="AH20" s="17">
        <v>21</v>
      </c>
    </row>
    <row r="21" spans="1:34" ht="21.95" customHeight="1">
      <c r="D21" s="333"/>
      <c r="E21" s="1130"/>
      <c r="F21" s="1080"/>
      <c r="G21" s="1080"/>
      <c r="H21" s="1078" t="s">
        <v>1151</v>
      </c>
      <c r="I21" s="1092"/>
      <c r="J21" s="134" t="s">
        <v>1152</v>
      </c>
      <c r="K21" s="1080"/>
      <c r="L21" s="1080"/>
      <c r="M21" s="1212"/>
      <c r="AH21" s="17">
        <v>21</v>
      </c>
    </row>
    <row r="22" spans="1:34" ht="12.75" customHeight="1">
      <c r="D22" s="333"/>
      <c r="E22" s="253"/>
      <c r="F22" s="253"/>
      <c r="G22" s="253"/>
      <c r="H22" s="1266"/>
      <c r="I22" s="1266"/>
      <c r="J22" s="253"/>
      <c r="K22" s="253"/>
      <c r="L22" s="253"/>
      <c r="M22" s="253"/>
      <c r="AH22" s="17">
        <v>12</v>
      </c>
    </row>
    <row r="23" spans="1:34" ht="19.899999999999999" customHeight="1">
      <c r="D23" s="333"/>
      <c r="E23" s="644" t="s">
        <v>110</v>
      </c>
      <c r="F23" s="1267" t="str">
        <f>"Предлагаемый метод регулирования"&amp;IF(TEMPLATE_SPHERE="HEAT"," в сфере "&amp;TEMPLATE_SPHERE_RUS,"")</f>
        <v>Предлагаемый метод регулирования в сфере теплоснабжения</v>
      </c>
      <c r="G23" s="1267"/>
      <c r="H23" s="1262"/>
      <c r="I23" s="1262"/>
      <c r="J23" s="1262"/>
      <c r="K23" s="1267" t="s">
        <v>307</v>
      </c>
      <c r="L23" s="1262"/>
      <c r="M23" s="165"/>
      <c r="AH23" s="17">
        <v>19</v>
      </c>
    </row>
    <row r="24" spans="1:34" ht="60.75" hidden="1" customHeight="1">
      <c r="A24" s="163" t="s">
        <v>158</v>
      </c>
      <c r="B24" s="163" t="s">
        <v>159</v>
      </c>
      <c r="D24" s="1265"/>
      <c r="E24" s="1068"/>
      <c r="F24" s="12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238" t="str">
        <f>INDEX(PT_DIFFERENTIATION_NTAR,MATCH(B24,PT_DIFFERENTIATION_NTAR_ID,0))</f>
        <v/>
      </c>
      <c r="H24" s="247"/>
      <c r="I24" s="641"/>
      <c r="J24" s="642"/>
      <c r="K24" s="378"/>
      <c r="L24" s="247" t="s">
        <v>307</v>
      </c>
      <c r="M24" s="10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17">
        <v>0</v>
      </c>
    </row>
    <row r="25" spans="1:34" ht="18.75" hidden="1" customHeight="1">
      <c r="C25" s="549" t="s">
        <v>1147</v>
      </c>
      <c r="D25" s="1265"/>
      <c r="E25" s="1068"/>
      <c r="F25" s="1268"/>
      <c r="G25" s="1238"/>
      <c r="H25" s="437"/>
      <c r="I25" s="105" t="s">
        <v>1148</v>
      </c>
      <c r="J25" s="132"/>
      <c r="K25" s="437"/>
      <c r="L25" s="535"/>
      <c r="M25" s="1032"/>
      <c r="AH25" s="17">
        <v>0</v>
      </c>
    </row>
    <row r="26" spans="1:34" ht="0.75" hidden="1" customHeight="1">
      <c r="C26" s="549" t="s">
        <v>1153</v>
      </c>
      <c r="D26" s="1265"/>
      <c r="E26" s="1068"/>
      <c r="F26" s="1204"/>
      <c r="G26" s="645"/>
      <c r="H26" s="437"/>
      <c r="I26" s="105"/>
      <c r="J26" s="132"/>
      <c r="K26" s="437"/>
      <c r="L26" s="535"/>
      <c r="M26" s="1032"/>
      <c r="AH26" s="17">
        <v>0</v>
      </c>
    </row>
    <row r="27" spans="1:34" ht="45" hidden="1" customHeight="1">
      <c r="A27" s="163" t="s">
        <v>163</v>
      </c>
      <c r="B27" s="163" t="s">
        <v>164</v>
      </c>
      <c r="D27" s="1263"/>
      <c r="E27" s="1269"/>
      <c r="F27" s="1270" t="str">
        <f>INDEX(PT_DIFFERENTIATION_VTAR,MATCH(A27,PT_DIFFERENTIATION_VTAR_ID,0))</f>
        <v/>
      </c>
      <c r="G27" s="1238" t="str">
        <f>INDEX(PT_DIFFERENTIATION_NTAR,MATCH(B27,PT_DIFFERENTIATION_NTAR_ID,0))</f>
        <v/>
      </c>
      <c r="H27" s="247"/>
      <c r="I27" s="641"/>
      <c r="J27" s="642"/>
      <c r="K27" s="378"/>
      <c r="L27" s="247" t="s">
        <v>307</v>
      </c>
      <c r="M27" s="1032"/>
      <c r="AH27" s="17">
        <v>0</v>
      </c>
    </row>
    <row r="28" spans="1:34" ht="18.75" hidden="1" customHeight="1">
      <c r="C28" s="549" t="s">
        <v>1147</v>
      </c>
      <c r="D28" s="1263"/>
      <c r="E28" s="1269"/>
      <c r="F28" s="1270"/>
      <c r="G28" s="1238"/>
      <c r="H28" s="437"/>
      <c r="I28" s="105" t="s">
        <v>1148</v>
      </c>
      <c r="J28" s="132"/>
      <c r="K28" s="437"/>
      <c r="L28" s="535"/>
      <c r="M28" s="1032"/>
      <c r="AH28" s="17">
        <v>0</v>
      </c>
    </row>
    <row r="29" spans="1:34" ht="0.75" hidden="1" customHeight="1">
      <c r="C29" s="549" t="s">
        <v>1153</v>
      </c>
      <c r="D29" s="1263"/>
      <c r="E29" s="1068"/>
      <c r="F29" s="1204"/>
      <c r="G29" s="645"/>
      <c r="H29" s="437"/>
      <c r="I29" s="105"/>
      <c r="J29" s="132"/>
      <c r="K29" s="437"/>
      <c r="L29" s="535"/>
      <c r="M29" s="1032"/>
      <c r="AH29" s="17">
        <v>0</v>
      </c>
    </row>
    <row r="30" spans="1:34" ht="45" hidden="1" customHeight="1">
      <c r="A30" s="163" t="s">
        <v>170</v>
      </c>
      <c r="B30" s="163" t="s">
        <v>171</v>
      </c>
      <c r="D30" s="1263"/>
      <c r="E30" s="1068"/>
      <c r="F30" s="12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238" t="str">
        <f>INDEX(PT_DIFFERENTIATION_NTAR,MATCH(B30,PT_DIFFERENTIATION_NTAR_ID,0))</f>
        <v/>
      </c>
      <c r="H30" s="247"/>
      <c r="I30" s="641"/>
      <c r="J30" s="642"/>
      <c r="K30" s="378"/>
      <c r="L30" s="247" t="s">
        <v>307</v>
      </c>
      <c r="M30" s="1032"/>
      <c r="AH30" s="17">
        <v>0</v>
      </c>
    </row>
    <row r="31" spans="1:34" ht="18.75" hidden="1" customHeight="1">
      <c r="C31" s="549" t="s">
        <v>1147</v>
      </c>
      <c r="D31" s="1263"/>
      <c r="E31" s="1068"/>
      <c r="F31" s="1204"/>
      <c r="G31" s="1238"/>
      <c r="H31" s="437"/>
      <c r="I31" s="105" t="s">
        <v>1148</v>
      </c>
      <c r="J31" s="132"/>
      <c r="K31" s="437"/>
      <c r="L31" s="535"/>
      <c r="M31" s="1032"/>
      <c r="AH31" s="17">
        <v>0</v>
      </c>
    </row>
    <row r="32" spans="1:34" ht="0.75" hidden="1" customHeight="1">
      <c r="C32" s="549" t="s">
        <v>1153</v>
      </c>
      <c r="D32" s="1263"/>
      <c r="E32" s="1068"/>
      <c r="F32" s="1204"/>
      <c r="G32" s="645"/>
      <c r="H32" s="437"/>
      <c r="I32" s="105"/>
      <c r="J32" s="132"/>
      <c r="K32" s="437"/>
      <c r="L32" s="535"/>
      <c r="M32" s="1032"/>
      <c r="AH32" s="17">
        <v>0</v>
      </c>
    </row>
    <row r="33" spans="1:34" ht="45" hidden="1" customHeight="1">
      <c r="A33" s="163" t="s">
        <v>176</v>
      </c>
      <c r="B33" s="163" t="s">
        <v>177</v>
      </c>
      <c r="D33" s="1263"/>
      <c r="E33" s="1068"/>
      <c r="F33" s="12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238" t="str">
        <f>INDEX(PT_DIFFERENTIATION_NTAR,MATCH(B33,PT_DIFFERENTIATION_NTAR_ID,0))</f>
        <v/>
      </c>
      <c r="H33" s="247"/>
      <c r="I33" s="641"/>
      <c r="J33" s="642"/>
      <c r="K33" s="378"/>
      <c r="L33" s="247" t="s">
        <v>307</v>
      </c>
      <c r="M33" s="1032"/>
      <c r="AH33" s="17">
        <v>0</v>
      </c>
    </row>
    <row r="34" spans="1:34" ht="18.75" hidden="1" customHeight="1">
      <c r="C34" s="549" t="s">
        <v>1147</v>
      </c>
      <c r="D34" s="1263"/>
      <c r="E34" s="1068"/>
      <c r="F34" s="1204"/>
      <c r="G34" s="1238"/>
      <c r="H34" s="437"/>
      <c r="I34" s="105" t="s">
        <v>1148</v>
      </c>
      <c r="J34" s="132"/>
      <c r="K34" s="437"/>
      <c r="L34" s="535"/>
      <c r="M34" s="1032"/>
      <c r="AH34" s="17">
        <v>0</v>
      </c>
    </row>
    <row r="35" spans="1:34" ht="0.75" hidden="1" customHeight="1">
      <c r="C35" s="549" t="s">
        <v>1153</v>
      </c>
      <c r="D35" s="1263"/>
      <c r="E35" s="1068"/>
      <c r="F35" s="1204"/>
      <c r="G35" s="645"/>
      <c r="H35" s="437"/>
      <c r="I35" s="105"/>
      <c r="J35" s="132"/>
      <c r="K35" s="437"/>
      <c r="L35" s="535"/>
      <c r="M35" s="1032"/>
      <c r="AH35" s="17">
        <v>0</v>
      </c>
    </row>
    <row r="36" spans="1:34" ht="18.75" hidden="1" customHeight="1">
      <c r="A36" s="163" t="s">
        <v>182</v>
      </c>
      <c r="B36" s="163" t="s">
        <v>183</v>
      </c>
      <c r="D36" s="1263"/>
      <c r="E36" s="1068"/>
      <c r="F36" s="1204" t="str">
        <f>INDEX(PT_DIFFERENTIATION_VTAR,MATCH(A36,PT_DIFFERENTIATION_VTAR_ID,0))</f>
        <v>Тарифы на услуги по передаче тепловой энергии</v>
      </c>
      <c r="G36" s="1238" t="str">
        <f>INDEX(PT_DIFFERENTIATION_NTAR,MATCH(B36,PT_DIFFERENTIATION_NTAR_ID,0))</f>
        <v/>
      </c>
      <c r="H36" s="247"/>
      <c r="I36" s="641"/>
      <c r="J36" s="642"/>
      <c r="K36" s="378"/>
      <c r="L36" s="247" t="s">
        <v>307</v>
      </c>
      <c r="M36" s="1032"/>
      <c r="AH36" s="17">
        <v>0</v>
      </c>
    </row>
    <row r="37" spans="1:34" ht="18.75" hidden="1" customHeight="1">
      <c r="C37" s="549" t="s">
        <v>1147</v>
      </c>
      <c r="D37" s="1263"/>
      <c r="E37" s="1068"/>
      <c r="F37" s="1204"/>
      <c r="G37" s="1238"/>
      <c r="H37" s="437"/>
      <c r="I37" s="105" t="s">
        <v>1148</v>
      </c>
      <c r="J37" s="132"/>
      <c r="K37" s="437"/>
      <c r="L37" s="535"/>
      <c r="M37" s="1032"/>
      <c r="AH37" s="17">
        <v>0</v>
      </c>
    </row>
    <row r="38" spans="1:34" ht="0.75" hidden="1" customHeight="1">
      <c r="C38" s="549" t="s">
        <v>1153</v>
      </c>
      <c r="D38" s="1263"/>
      <c r="E38" s="1068"/>
      <c r="F38" s="1204"/>
      <c r="G38" s="645"/>
      <c r="H38" s="437"/>
      <c r="I38" s="105"/>
      <c r="J38" s="132"/>
      <c r="K38" s="437"/>
      <c r="L38" s="535"/>
      <c r="M38" s="1032"/>
      <c r="AH38" s="17">
        <v>0</v>
      </c>
    </row>
    <row r="39" spans="1:34" ht="18.75" hidden="1" customHeight="1">
      <c r="A39" s="163" t="s">
        <v>188</v>
      </c>
      <c r="B39" s="163" t="s">
        <v>189</v>
      </c>
      <c r="D39" s="1263"/>
      <c r="E39" s="1068"/>
      <c r="F39" s="1204" t="str">
        <f>INDEX(PT_DIFFERENTIATION_VTAR,MATCH(A39,PT_DIFFERENTIATION_VTAR_ID,0))</f>
        <v>Тарифы на услуги по передаче теплоносителя</v>
      </c>
      <c r="G39" s="1238" t="str">
        <f>INDEX(PT_DIFFERENTIATION_NTAR,MATCH(B39,PT_DIFFERENTIATION_NTAR_ID,0))</f>
        <v/>
      </c>
      <c r="H39" s="247"/>
      <c r="I39" s="641"/>
      <c r="J39" s="642"/>
      <c r="K39" s="378"/>
      <c r="L39" s="247" t="s">
        <v>307</v>
      </c>
      <c r="M39" s="1032"/>
      <c r="AH39" s="17">
        <v>0</v>
      </c>
    </row>
    <row r="40" spans="1:34" ht="18.75" hidden="1" customHeight="1">
      <c r="C40" s="549" t="s">
        <v>1147</v>
      </c>
      <c r="D40" s="1263"/>
      <c r="E40" s="1068"/>
      <c r="F40" s="1204"/>
      <c r="G40" s="1238"/>
      <c r="H40" s="437"/>
      <c r="I40" s="105" t="s">
        <v>1148</v>
      </c>
      <c r="J40" s="132"/>
      <c r="K40" s="437"/>
      <c r="L40" s="535"/>
      <c r="M40" s="1032"/>
      <c r="AH40" s="17">
        <v>0</v>
      </c>
    </row>
    <row r="41" spans="1:34" ht="0.75" hidden="1" customHeight="1">
      <c r="C41" s="549" t="s">
        <v>1153</v>
      </c>
      <c r="D41" s="1263"/>
      <c r="E41" s="1068"/>
      <c r="F41" s="1204"/>
      <c r="G41" s="645"/>
      <c r="H41" s="437"/>
      <c r="I41" s="105"/>
      <c r="J41" s="132"/>
      <c r="K41" s="437"/>
      <c r="L41" s="535"/>
      <c r="M41" s="1032"/>
      <c r="AH41" s="17">
        <v>0</v>
      </c>
    </row>
    <row r="42" spans="1:34" ht="18.75" hidden="1" customHeight="1">
      <c r="A42" s="163" t="s">
        <v>194</v>
      </c>
      <c r="B42" s="163" t="s">
        <v>195</v>
      </c>
      <c r="D42" s="1263"/>
      <c r="E42" s="1068"/>
      <c r="F42" s="1204" t="str">
        <f>INDEX(PT_DIFFERENTIATION_VTAR,MATCH(A42,PT_DIFFERENTIATION_VTAR_ID,0))</f>
        <v>Плата за услуги по поддержанию резервной тепловой мощности при отсутствии потребления тепловой энергии</v>
      </c>
      <c r="G42" s="1238" t="str">
        <f>INDEX(PT_DIFFERENTIATION_NTAR,MATCH(B42,PT_DIFFERENTIATION_NTAR_ID,0))</f>
        <v/>
      </c>
      <c r="H42" s="247"/>
      <c r="I42" s="641"/>
      <c r="J42" s="642"/>
      <c r="K42" s="378"/>
      <c r="L42" s="247" t="s">
        <v>307</v>
      </c>
      <c r="M42" s="1032"/>
      <c r="AH42" s="17">
        <v>0</v>
      </c>
    </row>
    <row r="43" spans="1:34" ht="18.75" hidden="1" customHeight="1">
      <c r="C43" s="549" t="s">
        <v>1147</v>
      </c>
      <c r="D43" s="1263"/>
      <c r="E43" s="1068"/>
      <c r="F43" s="1204"/>
      <c r="G43" s="1238"/>
      <c r="H43" s="437"/>
      <c r="I43" s="105" t="s">
        <v>1148</v>
      </c>
      <c r="J43" s="132"/>
      <c r="K43" s="437"/>
      <c r="L43" s="535"/>
      <c r="M43" s="1032"/>
      <c r="AH43" s="17">
        <v>0</v>
      </c>
    </row>
    <row r="44" spans="1:34" ht="0.75" hidden="1" customHeight="1">
      <c r="C44" s="549" t="s">
        <v>1153</v>
      </c>
      <c r="D44" s="1263"/>
      <c r="E44" s="1068"/>
      <c r="F44" s="1204"/>
      <c r="G44" s="645"/>
      <c r="H44" s="437"/>
      <c r="I44" s="105"/>
      <c r="J44" s="132"/>
      <c r="K44" s="437"/>
      <c r="L44" s="535"/>
      <c r="M44" s="1032"/>
      <c r="AH44" s="17">
        <v>0</v>
      </c>
    </row>
    <row r="45" spans="1:34" ht="18.75" hidden="1" customHeight="1">
      <c r="A45" s="163" t="s">
        <v>200</v>
      </c>
      <c r="B45" s="163" t="s">
        <v>201</v>
      </c>
      <c r="D45" s="1263"/>
      <c r="E45" s="1068"/>
      <c r="F45" s="1204" t="str">
        <f>INDEX(PT_DIFFERENTIATION_VTAR,MATCH(A45,PT_DIFFERENTIATION_VTAR_ID,0))</f>
        <v>Плата за подключение (технологическое присоединение) к системе теплоснабжения</v>
      </c>
      <c r="G45" s="1238" t="str">
        <f>INDEX(PT_DIFFERENTIATION_NTAR,MATCH(B45,PT_DIFFERENTIATION_NTAR_ID,0))</f>
        <v/>
      </c>
      <c r="H45" s="247"/>
      <c r="I45" s="641"/>
      <c r="J45" s="642"/>
      <c r="K45" s="378"/>
      <c r="L45" s="247" t="s">
        <v>307</v>
      </c>
      <c r="M45" s="1032"/>
      <c r="AH45" s="17">
        <v>0</v>
      </c>
    </row>
    <row r="46" spans="1:34" ht="18.75" hidden="1" customHeight="1">
      <c r="C46" s="549" t="s">
        <v>1147</v>
      </c>
      <c r="D46" s="1263"/>
      <c r="E46" s="1068"/>
      <c r="F46" s="1204"/>
      <c r="G46" s="1238"/>
      <c r="H46" s="437"/>
      <c r="I46" s="105" t="s">
        <v>1148</v>
      </c>
      <c r="J46" s="132"/>
      <c r="K46" s="437"/>
      <c r="L46" s="535"/>
      <c r="M46" s="1032"/>
      <c r="AH46" s="17">
        <v>0</v>
      </c>
    </row>
    <row r="47" spans="1:34" ht="0.75" hidden="1" customHeight="1">
      <c r="C47" s="549" t="s">
        <v>1153</v>
      </c>
      <c r="D47" s="1263"/>
      <c r="E47" s="1068"/>
      <c r="F47" s="1204"/>
      <c r="G47" s="645"/>
      <c r="H47" s="437"/>
      <c r="I47" s="105"/>
      <c r="J47" s="132"/>
      <c r="K47" s="437"/>
      <c r="L47" s="535"/>
      <c r="M47" s="1032"/>
      <c r="AH47" s="17">
        <v>0</v>
      </c>
    </row>
    <row r="48" spans="1:34" ht="18.75" hidden="1" customHeight="1">
      <c r="A48" s="163" t="s">
        <v>206</v>
      </c>
      <c r="B48" s="163" t="s">
        <v>207</v>
      </c>
      <c r="D48" s="1263"/>
      <c r="E48" s="1068"/>
      <c r="F48" s="1204" t="str">
        <f>INDEX(PT_DIFFERENTIATION_VTAR,MATCH(A48,PT_DIFFERENTIATION_VTAR_ID,0))</f>
        <v>Плата за подключение (технологическое присоединение) к системе теплоснабжения (индивидуальная)</v>
      </c>
      <c r="G48" s="1238" t="str">
        <f>INDEX(PT_DIFFERENTIATION_NTAR,MATCH(B48,PT_DIFFERENTIATION_NTAR_ID,0))</f>
        <v/>
      </c>
      <c r="H48" s="247"/>
      <c r="I48" s="641"/>
      <c r="J48" s="642"/>
      <c r="K48" s="378"/>
      <c r="L48" s="247" t="s">
        <v>307</v>
      </c>
      <c r="M48" s="1032"/>
      <c r="AH48" s="17">
        <v>0</v>
      </c>
    </row>
    <row r="49" spans="1:34" ht="18.75" hidden="1" customHeight="1">
      <c r="C49" s="549" t="s">
        <v>1147</v>
      </c>
      <c r="D49" s="1263"/>
      <c r="E49" s="1068"/>
      <c r="F49" s="1204"/>
      <c r="G49" s="1238"/>
      <c r="H49" s="437"/>
      <c r="I49" s="105" t="s">
        <v>1148</v>
      </c>
      <c r="J49" s="132"/>
      <c r="K49" s="437"/>
      <c r="L49" s="535"/>
      <c r="M49" s="1032"/>
      <c r="AH49" s="17">
        <v>0</v>
      </c>
    </row>
    <row r="50" spans="1:34" ht="0.75" hidden="1" customHeight="1">
      <c r="C50" s="549" t="s">
        <v>1153</v>
      </c>
      <c r="D50" s="1263"/>
      <c r="E50" s="1068"/>
      <c r="F50" s="1204"/>
      <c r="G50" s="645"/>
      <c r="H50" s="437"/>
      <c r="I50" s="105"/>
      <c r="J50" s="132"/>
      <c r="K50" s="437"/>
      <c r="L50" s="535"/>
      <c r="M50" s="1032"/>
      <c r="AH50" s="17">
        <v>0</v>
      </c>
    </row>
    <row r="51" spans="1:34" ht="18.75" hidden="1" customHeight="1">
      <c r="A51" s="163" t="s">
        <v>226</v>
      </c>
      <c r="B51" s="163" t="s">
        <v>227</v>
      </c>
      <c r="D51" s="1263"/>
      <c r="E51" s="1068"/>
      <c r="F51" s="1204" t="str">
        <f>INDEX(PT_DIFFERENTIATION_VTAR,MATCH(A51,PT_DIFFERENTIATION_VTAR_ID,0))</f>
        <v>Тариф на питьевую воду (питьевое водоснабжение)</v>
      </c>
      <c r="G51" s="1238" t="str">
        <f>INDEX(PT_DIFFERENTIATION_NTAR,MATCH(B51,PT_DIFFERENTIATION_NTAR_ID,0))</f>
        <v/>
      </c>
      <c r="H51" s="247"/>
      <c r="I51" s="641"/>
      <c r="J51" s="642"/>
      <c r="K51" s="378"/>
      <c r="L51" s="247" t="s">
        <v>307</v>
      </c>
      <c r="M51" s="1032"/>
      <c r="AH51" s="17">
        <v>0</v>
      </c>
    </row>
    <row r="52" spans="1:34" ht="18.75" hidden="1" customHeight="1">
      <c r="C52" s="549" t="s">
        <v>1147</v>
      </c>
      <c r="D52" s="1263"/>
      <c r="E52" s="1068"/>
      <c r="F52" s="1204"/>
      <c r="G52" s="1238"/>
      <c r="H52" s="437"/>
      <c r="I52" s="105" t="s">
        <v>1148</v>
      </c>
      <c r="J52" s="132"/>
      <c r="K52" s="437"/>
      <c r="L52" s="535"/>
      <c r="M52" s="1032"/>
      <c r="AH52" s="17">
        <v>0</v>
      </c>
    </row>
    <row r="53" spans="1:34" ht="0.75" hidden="1" customHeight="1">
      <c r="C53" s="549" t="s">
        <v>1153</v>
      </c>
      <c r="D53" s="1263"/>
      <c r="E53" s="1068"/>
      <c r="F53" s="1204"/>
      <c r="G53" s="645"/>
      <c r="H53" s="437"/>
      <c r="I53" s="105"/>
      <c r="J53" s="132"/>
      <c r="K53" s="437"/>
      <c r="L53" s="535"/>
      <c r="M53" s="1032"/>
      <c r="AH53" s="17">
        <v>0</v>
      </c>
    </row>
    <row r="54" spans="1:34" ht="18.75" hidden="1" customHeight="1">
      <c r="A54" s="163" t="s">
        <v>231</v>
      </c>
      <c r="B54" s="163" t="s">
        <v>232</v>
      </c>
      <c r="D54" s="1263"/>
      <c r="E54" s="1068"/>
      <c r="F54" s="1204" t="str">
        <f>INDEX(PT_DIFFERENTIATION_VTAR,MATCH(A54,PT_DIFFERENTIATION_VTAR_ID,0))</f>
        <v>Тариф на техническую воду</v>
      </c>
      <c r="G54" s="1238" t="str">
        <f>INDEX(PT_DIFFERENTIATION_NTAR,MATCH(B54,PT_DIFFERENTIATION_NTAR_ID,0))</f>
        <v/>
      </c>
      <c r="H54" s="247"/>
      <c r="I54" s="641"/>
      <c r="J54" s="642"/>
      <c r="K54" s="378"/>
      <c r="L54" s="247" t="s">
        <v>307</v>
      </c>
      <c r="M54" s="1032"/>
      <c r="AH54" s="17">
        <v>0</v>
      </c>
    </row>
    <row r="55" spans="1:34" ht="18.75" hidden="1" customHeight="1">
      <c r="C55" s="549" t="s">
        <v>1147</v>
      </c>
      <c r="D55" s="1263"/>
      <c r="E55" s="1068"/>
      <c r="F55" s="1204"/>
      <c r="G55" s="1238"/>
      <c r="H55" s="437"/>
      <c r="I55" s="105" t="s">
        <v>1148</v>
      </c>
      <c r="J55" s="132"/>
      <c r="K55" s="437"/>
      <c r="L55" s="535"/>
      <c r="M55" s="1032"/>
      <c r="AH55" s="17">
        <v>0</v>
      </c>
    </row>
    <row r="56" spans="1:34" ht="0.75" hidden="1" customHeight="1">
      <c r="C56" s="549" t="s">
        <v>1153</v>
      </c>
      <c r="D56" s="1263"/>
      <c r="E56" s="1068"/>
      <c r="F56" s="1204"/>
      <c r="G56" s="645"/>
      <c r="H56" s="437"/>
      <c r="I56" s="105"/>
      <c r="J56" s="132"/>
      <c r="K56" s="437"/>
      <c r="L56" s="535"/>
      <c r="M56" s="1032"/>
      <c r="AH56" s="17">
        <v>0</v>
      </c>
    </row>
    <row r="57" spans="1:34" ht="18.75" hidden="1" customHeight="1">
      <c r="A57" s="163" t="s">
        <v>236</v>
      </c>
      <c r="B57" s="163" t="s">
        <v>237</v>
      </c>
      <c r="D57" s="1263"/>
      <c r="E57" s="1068"/>
      <c r="F57" s="1204" t="str">
        <f>INDEX(PT_DIFFERENTIATION_VTAR,MATCH(A57,PT_DIFFERENTIATION_VTAR_ID,0))</f>
        <v>Тариф на транспортировку воды</v>
      </c>
      <c r="G57" s="1238" t="str">
        <f>INDEX(PT_DIFFERENTIATION_NTAR,MATCH(B57,PT_DIFFERENTIATION_NTAR_ID,0))</f>
        <v/>
      </c>
      <c r="H57" s="247"/>
      <c r="I57" s="641"/>
      <c r="J57" s="642"/>
      <c r="K57" s="378"/>
      <c r="L57" s="247" t="s">
        <v>307</v>
      </c>
      <c r="M57" s="1032"/>
      <c r="AH57" s="17">
        <v>0</v>
      </c>
    </row>
    <row r="58" spans="1:34" ht="18.75" hidden="1" customHeight="1">
      <c r="C58" s="549" t="s">
        <v>1147</v>
      </c>
      <c r="D58" s="1263"/>
      <c r="E58" s="1068"/>
      <c r="F58" s="1204"/>
      <c r="G58" s="1238"/>
      <c r="H58" s="437"/>
      <c r="I58" s="105" t="s">
        <v>1148</v>
      </c>
      <c r="J58" s="132"/>
      <c r="K58" s="437"/>
      <c r="L58" s="535"/>
      <c r="M58" s="1032"/>
      <c r="AH58" s="17">
        <v>0</v>
      </c>
    </row>
    <row r="59" spans="1:34" ht="0.75" hidden="1" customHeight="1">
      <c r="C59" s="549" t="s">
        <v>1153</v>
      </c>
      <c r="D59" s="1263"/>
      <c r="E59" s="1068"/>
      <c r="F59" s="1204"/>
      <c r="G59" s="645"/>
      <c r="H59" s="437"/>
      <c r="I59" s="105"/>
      <c r="J59" s="132"/>
      <c r="K59" s="437"/>
      <c r="L59" s="535"/>
      <c r="M59" s="1032"/>
      <c r="AH59" s="17">
        <v>0</v>
      </c>
    </row>
    <row r="60" spans="1:34" ht="18.75" hidden="1" customHeight="1">
      <c r="A60" s="163" t="s">
        <v>241</v>
      </c>
      <c r="B60" s="163" t="s">
        <v>242</v>
      </c>
      <c r="D60" s="1263"/>
      <c r="E60" s="1068"/>
      <c r="F60" s="1204" t="str">
        <f>INDEX(PT_DIFFERENTIATION_VTAR,MATCH(A60,PT_DIFFERENTIATION_VTAR_ID,0))</f>
        <v>Тариф на подвоз воды</v>
      </c>
      <c r="G60" s="1238" t="str">
        <f>INDEX(PT_DIFFERENTIATION_NTAR,MATCH(B60,PT_DIFFERENTIATION_NTAR_ID,0))</f>
        <v/>
      </c>
      <c r="H60" s="247"/>
      <c r="I60" s="641"/>
      <c r="J60" s="642"/>
      <c r="K60" s="378"/>
      <c r="L60" s="247" t="s">
        <v>307</v>
      </c>
      <c r="M60" s="1032"/>
      <c r="AH60" s="17">
        <v>0</v>
      </c>
    </row>
    <row r="61" spans="1:34" ht="18.75" hidden="1" customHeight="1">
      <c r="C61" s="549" t="s">
        <v>1147</v>
      </c>
      <c r="D61" s="1263"/>
      <c r="E61" s="1068"/>
      <c r="F61" s="1204"/>
      <c r="G61" s="1238"/>
      <c r="H61" s="437"/>
      <c r="I61" s="105" t="s">
        <v>1148</v>
      </c>
      <c r="J61" s="132"/>
      <c r="K61" s="437"/>
      <c r="L61" s="535"/>
      <c r="M61" s="1032"/>
      <c r="AH61" s="17">
        <v>0</v>
      </c>
    </row>
    <row r="62" spans="1:34" ht="0.75" hidden="1" customHeight="1">
      <c r="C62" s="549" t="s">
        <v>1153</v>
      </c>
      <c r="D62" s="1263"/>
      <c r="E62" s="1068"/>
      <c r="F62" s="1204"/>
      <c r="G62" s="645"/>
      <c r="H62" s="437"/>
      <c r="I62" s="105"/>
      <c r="J62" s="132"/>
      <c r="K62" s="437"/>
      <c r="L62" s="535"/>
      <c r="M62" s="1032"/>
      <c r="AH62" s="17">
        <v>0</v>
      </c>
    </row>
    <row r="63" spans="1:34" ht="18.75" hidden="1" customHeight="1">
      <c r="A63" s="163" t="s">
        <v>246</v>
      </c>
      <c r="B63" s="163" t="s">
        <v>247</v>
      </c>
      <c r="D63" s="1263"/>
      <c r="E63" s="1068"/>
      <c r="F63" s="12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238" t="str">
        <f>INDEX(PT_DIFFERENTIATION_NTAR,MATCH(B63,PT_DIFFERENTIATION_NTAR_ID,0))</f>
        <v/>
      </c>
      <c r="H63" s="247"/>
      <c r="I63" s="641"/>
      <c r="J63" s="642"/>
      <c r="K63" s="378"/>
      <c r="L63" s="247" t="s">
        <v>307</v>
      </c>
      <c r="M63" s="1032"/>
      <c r="AH63" s="17">
        <v>0</v>
      </c>
    </row>
    <row r="64" spans="1:34" ht="18.75" hidden="1" customHeight="1">
      <c r="C64" s="549" t="s">
        <v>1147</v>
      </c>
      <c r="D64" s="1263"/>
      <c r="E64" s="1068"/>
      <c r="F64" s="1204"/>
      <c r="G64" s="1238"/>
      <c r="H64" s="437"/>
      <c r="I64" s="105" t="s">
        <v>1148</v>
      </c>
      <c r="J64" s="132"/>
      <c r="K64" s="437"/>
      <c r="L64" s="535"/>
      <c r="M64" s="1032"/>
      <c r="AH64" s="17">
        <v>0</v>
      </c>
    </row>
    <row r="65" spans="1:34" ht="0.75" hidden="1" customHeight="1">
      <c r="C65" s="549" t="s">
        <v>1153</v>
      </c>
      <c r="D65" s="1263"/>
      <c r="E65" s="1068"/>
      <c r="F65" s="1204"/>
      <c r="G65" s="645"/>
      <c r="H65" s="437"/>
      <c r="I65" s="105"/>
      <c r="J65" s="132"/>
      <c r="K65" s="437"/>
      <c r="L65" s="535"/>
      <c r="M65" s="1032"/>
      <c r="AH65" s="17">
        <v>0</v>
      </c>
    </row>
    <row r="66" spans="1:34" ht="18.75" hidden="1" customHeight="1">
      <c r="A66" s="163" t="s">
        <v>251</v>
      </c>
      <c r="B66" s="163" t="s">
        <v>252</v>
      </c>
      <c r="D66" s="1263"/>
      <c r="E66" s="1068"/>
      <c r="F66" s="1204" t="str">
        <f>INDEX(PT_DIFFERENTIATION_VTAR,MATCH(A66,PT_DIFFERENTIATION_VTAR_ID,0))</f>
        <v>Тариф на горячую воду (горячее водоснабжение)</v>
      </c>
      <c r="G66" s="1238" t="str">
        <f>INDEX(PT_DIFFERENTIATION_NTAR,MATCH(B66,PT_DIFFERENTIATION_NTAR_ID,0))</f>
        <v/>
      </c>
      <c r="H66" s="247"/>
      <c r="I66" s="641"/>
      <c r="J66" s="642"/>
      <c r="K66" s="378"/>
      <c r="L66" s="247" t="s">
        <v>307</v>
      </c>
      <c r="M66" s="1032"/>
      <c r="AH66" s="17">
        <v>0</v>
      </c>
    </row>
    <row r="67" spans="1:34" ht="18.75" hidden="1" customHeight="1">
      <c r="C67" s="549" t="s">
        <v>1147</v>
      </c>
      <c r="D67" s="1263"/>
      <c r="E67" s="1068"/>
      <c r="F67" s="1204"/>
      <c r="G67" s="1238"/>
      <c r="H67" s="437"/>
      <c r="I67" s="105" t="s">
        <v>1148</v>
      </c>
      <c r="J67" s="132"/>
      <c r="K67" s="437"/>
      <c r="L67" s="535"/>
      <c r="M67" s="1032"/>
      <c r="AH67" s="17">
        <v>0</v>
      </c>
    </row>
    <row r="68" spans="1:34" ht="0.75" hidden="1" customHeight="1">
      <c r="C68" s="549" t="s">
        <v>1153</v>
      </c>
      <c r="D68" s="1263"/>
      <c r="E68" s="1068"/>
      <c r="F68" s="1204"/>
      <c r="G68" s="645"/>
      <c r="H68" s="437"/>
      <c r="I68" s="105"/>
      <c r="J68" s="132"/>
      <c r="K68" s="437"/>
      <c r="L68" s="535"/>
      <c r="M68" s="1032"/>
      <c r="AH68" s="17">
        <v>0</v>
      </c>
    </row>
    <row r="69" spans="1:34" ht="18.75" hidden="1" customHeight="1">
      <c r="A69" s="163" t="s">
        <v>256</v>
      </c>
      <c r="B69" s="163" t="s">
        <v>257</v>
      </c>
      <c r="D69" s="1263"/>
      <c r="E69" s="1068"/>
      <c r="F69" s="1204" t="str">
        <f>INDEX(PT_DIFFERENTIATION_VTAR,MATCH(A69,PT_DIFFERENTIATION_VTAR_ID,0))</f>
        <v>Тариф на транспортировку горячей воды</v>
      </c>
      <c r="G69" s="1238" t="str">
        <f>INDEX(PT_DIFFERENTIATION_NTAR,MATCH(B69,PT_DIFFERENTIATION_NTAR_ID,0))</f>
        <v/>
      </c>
      <c r="H69" s="247"/>
      <c r="I69" s="641"/>
      <c r="J69" s="642"/>
      <c r="K69" s="378"/>
      <c r="L69" s="247" t="s">
        <v>307</v>
      </c>
      <c r="M69" s="1032"/>
      <c r="AH69" s="17">
        <v>0</v>
      </c>
    </row>
    <row r="70" spans="1:34" ht="18.75" hidden="1" customHeight="1">
      <c r="C70" s="549" t="s">
        <v>1147</v>
      </c>
      <c r="D70" s="1263"/>
      <c r="E70" s="1068"/>
      <c r="F70" s="1204"/>
      <c r="G70" s="1238"/>
      <c r="H70" s="437"/>
      <c r="I70" s="105" t="s">
        <v>1148</v>
      </c>
      <c r="J70" s="132"/>
      <c r="K70" s="437"/>
      <c r="L70" s="535"/>
      <c r="M70" s="1032"/>
      <c r="AH70" s="17">
        <v>0</v>
      </c>
    </row>
    <row r="71" spans="1:34" ht="0.75" hidden="1" customHeight="1">
      <c r="C71" s="549" t="s">
        <v>1153</v>
      </c>
      <c r="D71" s="1263"/>
      <c r="E71" s="1068"/>
      <c r="F71" s="1204"/>
      <c r="G71" s="645"/>
      <c r="H71" s="437"/>
      <c r="I71" s="105"/>
      <c r="J71" s="132"/>
      <c r="K71" s="437"/>
      <c r="L71" s="535"/>
      <c r="M71" s="1032"/>
      <c r="AH71" s="17">
        <v>0</v>
      </c>
    </row>
    <row r="72" spans="1:34" ht="18.75" hidden="1" customHeight="1">
      <c r="A72" s="163" t="s">
        <v>261</v>
      </c>
      <c r="B72" s="163" t="s">
        <v>262</v>
      </c>
      <c r="D72" s="1263"/>
      <c r="E72" s="1068"/>
      <c r="F72" s="1204" t="str">
        <f>INDEX(PT_DIFFERENTIATION_VTAR,MATCH(A72,PT_DIFFERENTIATION_VTAR_ID,0))</f>
        <v>Тариф на подключение (технологическое присоединение) к централизованной системе горячего водоснабжения</v>
      </c>
      <c r="G72" s="1238" t="str">
        <f>INDEX(PT_DIFFERENTIATION_NTAR,MATCH(B72,PT_DIFFERENTIATION_NTAR_ID,0))</f>
        <v/>
      </c>
      <c r="H72" s="247"/>
      <c r="I72" s="641"/>
      <c r="J72" s="642"/>
      <c r="K72" s="378"/>
      <c r="L72" s="247" t="s">
        <v>307</v>
      </c>
      <c r="M72" s="1032"/>
      <c r="AH72" s="17">
        <v>0</v>
      </c>
    </row>
    <row r="73" spans="1:34" ht="18.75" hidden="1" customHeight="1">
      <c r="C73" s="549" t="s">
        <v>1147</v>
      </c>
      <c r="D73" s="1263"/>
      <c r="E73" s="1068"/>
      <c r="F73" s="1204"/>
      <c r="G73" s="1238"/>
      <c r="H73" s="437"/>
      <c r="I73" s="105" t="s">
        <v>1148</v>
      </c>
      <c r="J73" s="132"/>
      <c r="K73" s="437"/>
      <c r="L73" s="535"/>
      <c r="M73" s="1032"/>
      <c r="AH73" s="17">
        <v>0</v>
      </c>
    </row>
    <row r="74" spans="1:34" ht="0.75" hidden="1" customHeight="1">
      <c r="C74" s="549" t="s">
        <v>1153</v>
      </c>
      <c r="D74" s="1263"/>
      <c r="E74" s="1068"/>
      <c r="F74" s="1204"/>
      <c r="G74" s="645"/>
      <c r="H74" s="437"/>
      <c r="I74" s="105"/>
      <c r="J74" s="132"/>
      <c r="K74" s="437"/>
      <c r="L74" s="535"/>
      <c r="M74" s="1032"/>
      <c r="AH74" s="17">
        <v>0</v>
      </c>
    </row>
    <row r="75" spans="1:34" ht="18.75" hidden="1" customHeight="1">
      <c r="A75" s="163" t="s">
        <v>266</v>
      </c>
      <c r="B75" s="163" t="s">
        <v>267</v>
      </c>
      <c r="D75" s="1263"/>
      <c r="E75" s="1068"/>
      <c r="F75" s="1204" t="str">
        <f>INDEX(PT_DIFFERENTIATION_VTAR,MATCH(A75,PT_DIFFERENTIATION_VTAR_ID,0))</f>
        <v>Тариф на водоотведение</v>
      </c>
      <c r="G75" s="1238" t="str">
        <f>INDEX(PT_DIFFERENTIATION_NTAR,MATCH(B75,PT_DIFFERENTIATION_NTAR_ID,0))</f>
        <v/>
      </c>
      <c r="H75" s="247"/>
      <c r="I75" s="641"/>
      <c r="J75" s="642"/>
      <c r="K75" s="378"/>
      <c r="L75" s="247" t="s">
        <v>307</v>
      </c>
      <c r="M75" s="1032"/>
      <c r="AH75" s="17">
        <v>0</v>
      </c>
    </row>
    <row r="76" spans="1:34" ht="18.75" hidden="1" customHeight="1">
      <c r="C76" s="549" t="s">
        <v>1147</v>
      </c>
      <c r="D76" s="1263"/>
      <c r="E76" s="1068"/>
      <c r="F76" s="1204"/>
      <c r="G76" s="1238"/>
      <c r="H76" s="437"/>
      <c r="I76" s="105" t="s">
        <v>1148</v>
      </c>
      <c r="J76" s="132"/>
      <c r="K76" s="437"/>
      <c r="L76" s="535"/>
      <c r="M76" s="1032"/>
      <c r="AH76" s="17">
        <v>0</v>
      </c>
    </row>
    <row r="77" spans="1:34" ht="0.75" hidden="1" customHeight="1">
      <c r="C77" s="549" t="s">
        <v>1153</v>
      </c>
      <c r="D77" s="1263"/>
      <c r="E77" s="1068"/>
      <c r="F77" s="1204"/>
      <c r="G77" s="645"/>
      <c r="H77" s="437"/>
      <c r="I77" s="105"/>
      <c r="J77" s="132"/>
      <c r="K77" s="437"/>
      <c r="L77" s="535"/>
      <c r="M77" s="1032"/>
      <c r="AH77" s="17">
        <v>0</v>
      </c>
    </row>
    <row r="78" spans="1:34" ht="18.75" hidden="1" customHeight="1">
      <c r="A78" s="163" t="s">
        <v>271</v>
      </c>
      <c r="B78" s="163" t="s">
        <v>272</v>
      </c>
      <c r="D78" s="1263"/>
      <c r="E78" s="1068"/>
      <c r="F78" s="1204" t="str">
        <f>INDEX(PT_DIFFERENTIATION_VTAR,MATCH(A78,PT_DIFFERENTIATION_VTAR_ID,0))</f>
        <v>Тариф на транспортировку сточных вод</v>
      </c>
      <c r="G78" s="1238" t="str">
        <f>INDEX(PT_DIFFERENTIATION_NTAR,MATCH(B78,PT_DIFFERENTIATION_NTAR_ID,0))</f>
        <v/>
      </c>
      <c r="H78" s="247"/>
      <c r="I78" s="641"/>
      <c r="J78" s="642"/>
      <c r="K78" s="378"/>
      <c r="L78" s="247" t="s">
        <v>307</v>
      </c>
      <c r="M78" s="1032"/>
      <c r="AH78" s="17">
        <v>0</v>
      </c>
    </row>
    <row r="79" spans="1:34" ht="18.75" hidden="1" customHeight="1">
      <c r="C79" s="549" t="s">
        <v>1147</v>
      </c>
      <c r="D79" s="1263"/>
      <c r="E79" s="1068"/>
      <c r="F79" s="1204"/>
      <c r="G79" s="1238"/>
      <c r="H79" s="437"/>
      <c r="I79" s="105" t="s">
        <v>1148</v>
      </c>
      <c r="J79" s="132"/>
      <c r="K79" s="437"/>
      <c r="L79" s="535"/>
      <c r="M79" s="1032"/>
      <c r="AH79" s="17">
        <v>0</v>
      </c>
    </row>
    <row r="80" spans="1:34" ht="0.75" hidden="1" customHeight="1">
      <c r="C80" s="549" t="s">
        <v>1153</v>
      </c>
      <c r="D80" s="1263"/>
      <c r="E80" s="1068"/>
      <c r="F80" s="1204"/>
      <c r="G80" s="645"/>
      <c r="H80" s="437"/>
      <c r="I80" s="105"/>
      <c r="J80" s="132"/>
      <c r="K80" s="437"/>
      <c r="L80" s="535"/>
      <c r="M80" s="1032"/>
      <c r="AH80" s="17">
        <v>0</v>
      </c>
    </row>
    <row r="81" spans="1:34" ht="18.75" hidden="1" customHeight="1">
      <c r="A81" s="163" t="s">
        <v>276</v>
      </c>
      <c r="B81" s="163" t="s">
        <v>277</v>
      </c>
      <c r="D81" s="1263"/>
      <c r="E81" s="1068"/>
      <c r="F81" s="1204" t="str">
        <f>INDEX(PT_DIFFERENTIATION_VTAR,MATCH(A81,PT_DIFFERENTIATION_VTAR_ID,0))</f>
        <v>Тариф на подключение (технологическое присоединение) к централизованной системе водоотведения</v>
      </c>
      <c r="G81" s="1238" t="str">
        <f>INDEX(PT_DIFFERENTIATION_NTAR,MATCH(B81,PT_DIFFERENTIATION_NTAR_ID,0))</f>
        <v/>
      </c>
      <c r="H81" s="247"/>
      <c r="I81" s="641"/>
      <c r="J81" s="642"/>
      <c r="K81" s="378"/>
      <c r="L81" s="247" t="s">
        <v>307</v>
      </c>
      <c r="M81" s="1032"/>
      <c r="AH81" s="17">
        <v>0</v>
      </c>
    </row>
    <row r="82" spans="1:34" ht="18.75" hidden="1" customHeight="1">
      <c r="C82" s="549" t="s">
        <v>1147</v>
      </c>
      <c r="D82" s="1263"/>
      <c r="E82" s="1068"/>
      <c r="F82" s="1204"/>
      <c r="G82" s="1238"/>
      <c r="H82" s="437"/>
      <c r="I82" s="105" t="s">
        <v>1148</v>
      </c>
      <c r="J82" s="132"/>
      <c r="K82" s="437"/>
      <c r="L82" s="535"/>
      <c r="M82" s="1032"/>
      <c r="AH82" s="17">
        <v>0</v>
      </c>
    </row>
    <row r="83" spans="1:34" ht="1.1499999999999999" customHeight="1">
      <c r="C83" s="549" t="s">
        <v>1153</v>
      </c>
      <c r="D83" s="1263"/>
      <c r="E83" s="1068"/>
      <c r="F83" s="1204"/>
      <c r="G83" s="645"/>
      <c r="H83" s="437"/>
      <c r="I83" s="105"/>
      <c r="J83" s="132"/>
      <c r="K83" s="437"/>
      <c r="L83" s="535"/>
      <c r="M83" s="1032"/>
      <c r="AH83" s="17">
        <v>1</v>
      </c>
    </row>
    <row r="84" spans="1:34" ht="19.899999999999999" customHeight="1">
      <c r="D84" s="333"/>
      <c r="E84" s="186" t="s">
        <v>111</v>
      </c>
      <c r="F84" s="12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262"/>
      <c r="H84" s="1262"/>
      <c r="I84" s="1262"/>
      <c r="J84" s="1262"/>
      <c r="K84" s="1262"/>
      <c r="L84" s="1262"/>
      <c r="M84" s="527"/>
      <c r="AH84" s="17">
        <v>19</v>
      </c>
    </row>
    <row r="85" spans="1:34" ht="35.65" customHeight="1">
      <c r="D85" s="333"/>
      <c r="E85" s="646"/>
      <c r="F85" s="134" t="s">
        <v>307</v>
      </c>
      <c r="G85" s="134" t="s">
        <v>307</v>
      </c>
      <c r="H85" s="1078" t="s">
        <v>307</v>
      </c>
      <c r="I85" s="1092"/>
      <c r="J85" s="134" t="s">
        <v>307</v>
      </c>
      <c r="K85" s="134" t="s">
        <v>307</v>
      </c>
      <c r="L85" s="477"/>
      <c r="M85" s="296" t="s">
        <v>1154</v>
      </c>
      <c r="AH85" s="17">
        <v>34</v>
      </c>
    </row>
    <row r="86" spans="1:34" ht="19.899999999999999" customHeight="1">
      <c r="D86" s="333"/>
      <c r="E86" s="186" t="s">
        <v>90</v>
      </c>
      <c r="F86" s="1262" t="s">
        <v>1155</v>
      </c>
      <c r="G86" s="1262"/>
      <c r="H86" s="1262"/>
      <c r="I86" s="1262"/>
      <c r="J86" s="1262"/>
      <c r="K86" s="1262"/>
      <c r="L86" s="1262"/>
      <c r="M86" s="527"/>
      <c r="AH86" s="17">
        <v>19</v>
      </c>
    </row>
    <row r="87" spans="1:34" ht="60.75" hidden="1" customHeight="1">
      <c r="A87" s="163" t="s">
        <v>158</v>
      </c>
      <c r="B87" s="163" t="s">
        <v>159</v>
      </c>
      <c r="D87" s="1263"/>
      <c r="E87" s="1068"/>
      <c r="F87" s="12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238" t="str">
        <f>INDEX(PT_DIFFERENTIATION_NTAR,MATCH(B87,PT_DIFFERENTIATION_NTAR_ID,0))</f>
        <v/>
      </c>
      <c r="H87" s="247"/>
      <c r="I87" s="641"/>
      <c r="J87" s="642"/>
      <c r="K87" s="262"/>
      <c r="L87" s="247" t="s">
        <v>307</v>
      </c>
      <c r="M87" s="10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17">
        <v>0</v>
      </c>
    </row>
    <row r="88" spans="1:34" ht="18.75" hidden="1" customHeight="1">
      <c r="C88" s="549" t="s">
        <v>1149</v>
      </c>
      <c r="D88" s="1263"/>
      <c r="E88" s="1068"/>
      <c r="F88" s="1204"/>
      <c r="G88" s="1238"/>
      <c r="H88" s="437"/>
      <c r="I88" s="105" t="s">
        <v>1148</v>
      </c>
      <c r="J88" s="132"/>
      <c r="K88" s="437"/>
      <c r="L88" s="535"/>
      <c r="M88" s="1032"/>
      <c r="AH88" s="17">
        <v>0</v>
      </c>
    </row>
    <row r="89" spans="1:34" ht="0.75" hidden="1" customHeight="1">
      <c r="C89" s="549" t="s">
        <v>1156</v>
      </c>
      <c r="D89" s="1263"/>
      <c r="E89" s="1068"/>
      <c r="F89" s="1204"/>
      <c r="G89" s="645"/>
      <c r="H89" s="437"/>
      <c r="I89" s="105"/>
      <c r="J89" s="132"/>
      <c r="K89" s="437"/>
      <c r="L89" s="535"/>
      <c r="M89" s="1032"/>
      <c r="AH89" s="17">
        <v>0</v>
      </c>
    </row>
    <row r="90" spans="1:34" ht="45" hidden="1" customHeight="1">
      <c r="A90" s="163" t="s">
        <v>163</v>
      </c>
      <c r="B90" s="163" t="s">
        <v>164</v>
      </c>
      <c r="D90" s="1263"/>
      <c r="E90" s="1068"/>
      <c r="F90" s="1204" t="str">
        <f>INDEX(PT_DIFFERENTIATION_VTAR,MATCH(A90,PT_DIFFERENTIATION_VTAR_ID,0))</f>
        <v/>
      </c>
      <c r="G90" s="1238" t="str">
        <f>INDEX(PT_DIFFERENTIATION_NTAR,MATCH(B90,PT_DIFFERENTIATION_NTAR_ID,0))</f>
        <v/>
      </c>
      <c r="H90" s="247"/>
      <c r="I90" s="641"/>
      <c r="J90" s="642"/>
      <c r="K90" s="262"/>
      <c r="L90" s="247" t="s">
        <v>307</v>
      </c>
      <c r="M90" s="1033"/>
      <c r="AH90" s="17">
        <v>0</v>
      </c>
    </row>
    <row r="91" spans="1:34" ht="18.75" hidden="1" customHeight="1">
      <c r="C91" s="549" t="s">
        <v>1149</v>
      </c>
      <c r="D91" s="1263"/>
      <c r="E91" s="1068"/>
      <c r="F91" s="1204"/>
      <c r="G91" s="1238"/>
      <c r="H91" s="437"/>
      <c r="I91" s="105" t="s">
        <v>1148</v>
      </c>
      <c r="J91" s="132"/>
      <c r="K91" s="437"/>
      <c r="L91" s="535"/>
      <c r="M91" s="154"/>
      <c r="AH91" s="17">
        <v>0</v>
      </c>
    </row>
    <row r="92" spans="1:34" ht="0.75" hidden="1" customHeight="1">
      <c r="C92" s="549" t="s">
        <v>1156</v>
      </c>
      <c r="D92" s="1263"/>
      <c r="E92" s="1068"/>
      <c r="F92" s="1204"/>
      <c r="G92" s="645"/>
      <c r="H92" s="437"/>
      <c r="I92" s="105"/>
      <c r="J92" s="132"/>
      <c r="K92" s="437"/>
      <c r="L92" s="535"/>
      <c r="M92" s="635"/>
      <c r="AH92" s="17">
        <v>0</v>
      </c>
    </row>
    <row r="93" spans="1:34" ht="45" hidden="1" customHeight="1">
      <c r="A93" s="163" t="s">
        <v>170</v>
      </c>
      <c r="B93" s="163" t="s">
        <v>171</v>
      </c>
      <c r="D93" s="1263"/>
      <c r="E93" s="1068"/>
      <c r="F93" s="12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238" t="str">
        <f>INDEX(PT_DIFFERENTIATION_NTAR,MATCH(B93,PT_DIFFERENTIATION_NTAR_ID,0))</f>
        <v/>
      </c>
      <c r="H93" s="247"/>
      <c r="I93" s="641"/>
      <c r="J93" s="642"/>
      <c r="K93" s="262"/>
      <c r="L93" s="247" t="s">
        <v>307</v>
      </c>
      <c r="M93" s="635"/>
      <c r="AH93" s="17">
        <v>0</v>
      </c>
    </row>
    <row r="94" spans="1:34" ht="18.75" hidden="1" customHeight="1">
      <c r="C94" s="549" t="s">
        <v>1149</v>
      </c>
      <c r="D94" s="1263"/>
      <c r="E94" s="1068"/>
      <c r="F94" s="1204"/>
      <c r="G94" s="1238"/>
      <c r="H94" s="437"/>
      <c r="I94" s="105" t="s">
        <v>1148</v>
      </c>
      <c r="J94" s="132"/>
      <c r="K94" s="437"/>
      <c r="L94" s="535"/>
      <c r="M94" s="635"/>
      <c r="AH94" s="17">
        <v>0</v>
      </c>
    </row>
    <row r="95" spans="1:34" ht="0.75" hidden="1" customHeight="1">
      <c r="C95" s="549" t="s">
        <v>1156</v>
      </c>
      <c r="D95" s="1263"/>
      <c r="E95" s="1068"/>
      <c r="F95" s="1204"/>
      <c r="G95" s="645"/>
      <c r="H95" s="437"/>
      <c r="I95" s="105"/>
      <c r="J95" s="132"/>
      <c r="K95" s="437"/>
      <c r="L95" s="535"/>
      <c r="M95" s="635"/>
      <c r="AH95" s="17">
        <v>0</v>
      </c>
    </row>
    <row r="96" spans="1:34" ht="45" hidden="1" customHeight="1">
      <c r="A96" s="163" t="s">
        <v>176</v>
      </c>
      <c r="B96" s="163" t="s">
        <v>177</v>
      </c>
      <c r="D96" s="1263"/>
      <c r="E96" s="1068"/>
      <c r="F96" s="12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238" t="str">
        <f>INDEX(PT_DIFFERENTIATION_NTAR,MATCH(B96,PT_DIFFERENTIATION_NTAR_ID,0))</f>
        <v/>
      </c>
      <c r="H96" s="247"/>
      <c r="I96" s="641"/>
      <c r="J96" s="642"/>
      <c r="K96" s="262"/>
      <c r="L96" s="247" t="s">
        <v>307</v>
      </c>
      <c r="M96" s="635"/>
      <c r="AH96" s="17">
        <v>0</v>
      </c>
    </row>
    <row r="97" spans="1:34" ht="18.75" hidden="1" customHeight="1">
      <c r="C97" s="549" t="s">
        <v>1149</v>
      </c>
      <c r="D97" s="1263"/>
      <c r="E97" s="1068"/>
      <c r="F97" s="1204"/>
      <c r="G97" s="1238"/>
      <c r="H97" s="437"/>
      <c r="I97" s="105" t="s">
        <v>1148</v>
      </c>
      <c r="J97" s="132"/>
      <c r="K97" s="437"/>
      <c r="L97" s="535"/>
      <c r="M97" s="635"/>
      <c r="AH97" s="17">
        <v>0</v>
      </c>
    </row>
    <row r="98" spans="1:34" ht="0.75" hidden="1" customHeight="1">
      <c r="C98" s="549" t="s">
        <v>1156</v>
      </c>
      <c r="D98" s="1263"/>
      <c r="E98" s="1068"/>
      <c r="F98" s="1204"/>
      <c r="G98" s="645"/>
      <c r="H98" s="437"/>
      <c r="I98" s="105"/>
      <c r="J98" s="132"/>
      <c r="K98" s="437"/>
      <c r="L98" s="535"/>
      <c r="M98" s="635"/>
      <c r="AH98" s="17">
        <v>0</v>
      </c>
    </row>
    <row r="99" spans="1:34" ht="18.75" hidden="1" customHeight="1">
      <c r="A99" s="163" t="s">
        <v>182</v>
      </c>
      <c r="B99" s="163" t="s">
        <v>183</v>
      </c>
      <c r="D99" s="1263"/>
      <c r="E99" s="1068"/>
      <c r="F99" s="1204" t="str">
        <f>INDEX(PT_DIFFERENTIATION_VTAR,MATCH(A99,PT_DIFFERENTIATION_VTAR_ID,0))</f>
        <v>Тарифы на услуги по передаче тепловой энергии</v>
      </c>
      <c r="G99" s="1238" t="str">
        <f>INDEX(PT_DIFFERENTIATION_NTAR,MATCH(B99,PT_DIFFERENTIATION_NTAR_ID,0))</f>
        <v/>
      </c>
      <c r="H99" s="247"/>
      <c r="I99" s="641"/>
      <c r="J99" s="642"/>
      <c r="K99" s="262"/>
      <c r="L99" s="247" t="s">
        <v>307</v>
      </c>
      <c r="M99" s="635"/>
      <c r="AH99" s="17">
        <v>0</v>
      </c>
    </row>
    <row r="100" spans="1:34" ht="18.75" hidden="1" customHeight="1">
      <c r="C100" s="549" t="s">
        <v>1149</v>
      </c>
      <c r="D100" s="1263"/>
      <c r="E100" s="1068"/>
      <c r="F100" s="1204"/>
      <c r="G100" s="1238"/>
      <c r="H100" s="437"/>
      <c r="I100" s="105" t="s">
        <v>1148</v>
      </c>
      <c r="J100" s="132"/>
      <c r="K100" s="437"/>
      <c r="L100" s="535"/>
      <c r="M100" s="635"/>
      <c r="AH100" s="17">
        <v>0</v>
      </c>
    </row>
    <row r="101" spans="1:34" ht="0.75" hidden="1" customHeight="1">
      <c r="C101" s="549" t="s">
        <v>1156</v>
      </c>
      <c r="D101" s="1263"/>
      <c r="E101" s="1068"/>
      <c r="F101" s="1204"/>
      <c r="G101" s="645"/>
      <c r="H101" s="437"/>
      <c r="I101" s="105"/>
      <c r="J101" s="132"/>
      <c r="K101" s="437"/>
      <c r="L101" s="535"/>
      <c r="M101" s="635"/>
      <c r="AH101" s="17">
        <v>0</v>
      </c>
    </row>
    <row r="102" spans="1:34" ht="18.75" hidden="1" customHeight="1">
      <c r="A102" s="163" t="s">
        <v>188</v>
      </c>
      <c r="B102" s="163" t="s">
        <v>189</v>
      </c>
      <c r="D102" s="1263"/>
      <c r="E102" s="1068"/>
      <c r="F102" s="1204" t="str">
        <f>INDEX(PT_DIFFERENTIATION_VTAR,MATCH(A102,PT_DIFFERENTIATION_VTAR_ID,0))</f>
        <v>Тарифы на услуги по передаче теплоносителя</v>
      </c>
      <c r="G102" s="1238" t="str">
        <f>INDEX(PT_DIFFERENTIATION_NTAR,MATCH(B102,PT_DIFFERENTIATION_NTAR_ID,0))</f>
        <v/>
      </c>
      <c r="H102" s="247"/>
      <c r="I102" s="641"/>
      <c r="J102" s="642"/>
      <c r="K102" s="262"/>
      <c r="L102" s="247" t="s">
        <v>307</v>
      </c>
      <c r="M102" s="635"/>
      <c r="AH102" s="17">
        <v>0</v>
      </c>
    </row>
    <row r="103" spans="1:34" ht="18.75" hidden="1" customHeight="1">
      <c r="C103" s="549" t="s">
        <v>1149</v>
      </c>
      <c r="D103" s="1263"/>
      <c r="E103" s="1068"/>
      <c r="F103" s="1204"/>
      <c r="G103" s="1238"/>
      <c r="H103" s="437"/>
      <c r="I103" s="105" t="s">
        <v>1148</v>
      </c>
      <c r="J103" s="132"/>
      <c r="K103" s="437"/>
      <c r="L103" s="535"/>
      <c r="M103" s="635"/>
      <c r="AH103" s="17">
        <v>0</v>
      </c>
    </row>
    <row r="104" spans="1:34" ht="0.75" hidden="1" customHeight="1">
      <c r="C104" s="549" t="s">
        <v>1156</v>
      </c>
      <c r="D104" s="1263"/>
      <c r="E104" s="1068"/>
      <c r="F104" s="1204"/>
      <c r="G104" s="645"/>
      <c r="H104" s="437"/>
      <c r="I104" s="105"/>
      <c r="J104" s="132"/>
      <c r="K104" s="437"/>
      <c r="L104" s="535"/>
      <c r="M104" s="635"/>
      <c r="AH104" s="17">
        <v>0</v>
      </c>
    </row>
    <row r="105" spans="1:34" ht="18.75" hidden="1" customHeight="1">
      <c r="A105" s="163" t="s">
        <v>194</v>
      </c>
      <c r="B105" s="163" t="s">
        <v>195</v>
      </c>
      <c r="D105" s="1263"/>
      <c r="E105" s="1068"/>
      <c r="F105" s="12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238" t="str">
        <f>INDEX(PT_DIFFERENTIATION_NTAR,MATCH(B105,PT_DIFFERENTIATION_NTAR_ID,0))</f>
        <v/>
      </c>
      <c r="H105" s="247"/>
      <c r="I105" s="641"/>
      <c r="J105" s="642"/>
      <c r="K105" s="262"/>
      <c r="L105" s="247" t="s">
        <v>307</v>
      </c>
      <c r="M105" s="635"/>
      <c r="AH105" s="17">
        <v>0</v>
      </c>
    </row>
    <row r="106" spans="1:34" ht="18.75" hidden="1" customHeight="1">
      <c r="C106" s="549" t="s">
        <v>1149</v>
      </c>
      <c r="D106" s="1263"/>
      <c r="E106" s="1068"/>
      <c r="F106" s="1204"/>
      <c r="G106" s="1238"/>
      <c r="H106" s="437"/>
      <c r="I106" s="105" t="s">
        <v>1148</v>
      </c>
      <c r="J106" s="132"/>
      <c r="K106" s="437"/>
      <c r="L106" s="535"/>
      <c r="M106" s="635"/>
      <c r="AH106" s="17">
        <v>0</v>
      </c>
    </row>
    <row r="107" spans="1:34" ht="0.75" hidden="1" customHeight="1">
      <c r="C107" s="549" t="s">
        <v>1156</v>
      </c>
      <c r="D107" s="1263"/>
      <c r="E107" s="1068"/>
      <c r="F107" s="1204"/>
      <c r="G107" s="645"/>
      <c r="H107" s="437"/>
      <c r="I107" s="105"/>
      <c r="J107" s="132"/>
      <c r="K107" s="437"/>
      <c r="L107" s="535"/>
      <c r="M107" s="635"/>
      <c r="AH107" s="17">
        <v>0</v>
      </c>
    </row>
    <row r="108" spans="1:34" ht="18.75" hidden="1" customHeight="1">
      <c r="A108" s="163" t="s">
        <v>200</v>
      </c>
      <c r="B108" s="163" t="s">
        <v>201</v>
      </c>
      <c r="D108" s="1263"/>
      <c r="E108" s="1068"/>
      <c r="F108" s="1204" t="str">
        <f>INDEX(PT_DIFFERENTIATION_VTAR,MATCH(A108,PT_DIFFERENTIATION_VTAR_ID,0))</f>
        <v>Плата за подключение (технологическое присоединение) к системе теплоснабжения</v>
      </c>
      <c r="G108" s="1238" t="str">
        <f>INDEX(PT_DIFFERENTIATION_NTAR,MATCH(B108,PT_DIFFERENTIATION_NTAR_ID,0))</f>
        <v/>
      </c>
      <c r="H108" s="247"/>
      <c r="I108" s="641"/>
      <c r="J108" s="642"/>
      <c r="K108" s="262"/>
      <c r="L108" s="247" t="s">
        <v>307</v>
      </c>
      <c r="M108" s="635"/>
      <c r="AH108" s="17">
        <v>0</v>
      </c>
    </row>
    <row r="109" spans="1:34" ht="18.75" hidden="1" customHeight="1">
      <c r="C109" s="549" t="s">
        <v>1149</v>
      </c>
      <c r="D109" s="1263"/>
      <c r="E109" s="1068"/>
      <c r="F109" s="1204"/>
      <c r="G109" s="1238"/>
      <c r="H109" s="437"/>
      <c r="I109" s="105" t="s">
        <v>1148</v>
      </c>
      <c r="J109" s="132"/>
      <c r="K109" s="437"/>
      <c r="L109" s="535"/>
      <c r="M109" s="635"/>
      <c r="AH109" s="17">
        <v>0</v>
      </c>
    </row>
    <row r="110" spans="1:34" ht="0.75" hidden="1" customHeight="1">
      <c r="C110" s="549" t="s">
        <v>1156</v>
      </c>
      <c r="D110" s="1263"/>
      <c r="E110" s="1068"/>
      <c r="F110" s="1204"/>
      <c r="G110" s="645"/>
      <c r="H110" s="437"/>
      <c r="I110" s="105"/>
      <c r="J110" s="132"/>
      <c r="K110" s="437"/>
      <c r="L110" s="535"/>
      <c r="M110" s="635"/>
      <c r="AH110" s="17">
        <v>0</v>
      </c>
    </row>
    <row r="111" spans="1:34" ht="18.75" hidden="1" customHeight="1">
      <c r="A111" s="163" t="s">
        <v>206</v>
      </c>
      <c r="B111" s="163" t="s">
        <v>207</v>
      </c>
      <c r="D111" s="1263"/>
      <c r="E111" s="1068"/>
      <c r="F111" s="1204" t="str">
        <f>INDEX(PT_DIFFERENTIATION_VTAR,MATCH(A111,PT_DIFFERENTIATION_VTAR_ID,0))</f>
        <v>Плата за подключение (технологическое присоединение) к системе теплоснабжения (индивидуальная)</v>
      </c>
      <c r="G111" s="1238" t="str">
        <f>INDEX(PT_DIFFERENTIATION_NTAR,MATCH(B111,PT_DIFFERENTIATION_NTAR_ID,0))</f>
        <v/>
      </c>
      <c r="H111" s="247"/>
      <c r="I111" s="641"/>
      <c r="J111" s="642"/>
      <c r="K111" s="262"/>
      <c r="L111" s="247" t="s">
        <v>307</v>
      </c>
      <c r="M111" s="635"/>
      <c r="AH111" s="17">
        <v>0</v>
      </c>
    </row>
    <row r="112" spans="1:34" ht="18.75" hidden="1" customHeight="1">
      <c r="C112" s="549" t="s">
        <v>1149</v>
      </c>
      <c r="D112" s="1263"/>
      <c r="E112" s="1068"/>
      <c r="F112" s="1204"/>
      <c r="G112" s="1238"/>
      <c r="H112" s="437"/>
      <c r="I112" s="105" t="s">
        <v>1148</v>
      </c>
      <c r="J112" s="132"/>
      <c r="K112" s="437"/>
      <c r="L112" s="535"/>
      <c r="M112" s="635"/>
      <c r="AH112" s="17">
        <v>0</v>
      </c>
    </row>
    <row r="113" spans="1:34" ht="0.75" hidden="1" customHeight="1">
      <c r="C113" s="549" t="s">
        <v>1156</v>
      </c>
      <c r="D113" s="1263"/>
      <c r="E113" s="1068"/>
      <c r="F113" s="1204"/>
      <c r="G113" s="645"/>
      <c r="H113" s="437"/>
      <c r="I113" s="105"/>
      <c r="J113" s="132"/>
      <c r="K113" s="437"/>
      <c r="L113" s="535"/>
      <c r="M113" s="635"/>
      <c r="AH113" s="17">
        <v>0</v>
      </c>
    </row>
    <row r="114" spans="1:34" ht="18.75" hidden="1" customHeight="1">
      <c r="A114" s="163" t="s">
        <v>226</v>
      </c>
      <c r="B114" s="163" t="s">
        <v>227</v>
      </c>
      <c r="D114" s="1263"/>
      <c r="E114" s="1068"/>
      <c r="F114" s="1204" t="str">
        <f>INDEX(PT_DIFFERENTIATION_VTAR,MATCH(A114,PT_DIFFERENTIATION_VTAR_ID,0))</f>
        <v>Тариф на питьевую воду (питьевое водоснабжение)</v>
      </c>
      <c r="G114" s="1238" t="str">
        <f>INDEX(PT_DIFFERENTIATION_NTAR,MATCH(B114,PT_DIFFERENTIATION_NTAR_ID,0))</f>
        <v/>
      </c>
      <c r="H114" s="247"/>
      <c r="I114" s="641"/>
      <c r="J114" s="642"/>
      <c r="K114" s="262"/>
      <c r="L114" s="247" t="s">
        <v>307</v>
      </c>
      <c r="M114" s="635"/>
      <c r="AH114" s="17">
        <v>0</v>
      </c>
    </row>
    <row r="115" spans="1:34" ht="18.75" hidden="1" customHeight="1">
      <c r="C115" s="549" t="s">
        <v>1149</v>
      </c>
      <c r="D115" s="1263"/>
      <c r="E115" s="1068"/>
      <c r="F115" s="1204"/>
      <c r="G115" s="1238"/>
      <c r="H115" s="437"/>
      <c r="I115" s="105" t="s">
        <v>1148</v>
      </c>
      <c r="J115" s="132"/>
      <c r="K115" s="437"/>
      <c r="L115" s="535"/>
      <c r="M115" s="635"/>
      <c r="AH115" s="17">
        <v>0</v>
      </c>
    </row>
    <row r="116" spans="1:34" ht="0.75" hidden="1" customHeight="1">
      <c r="C116" s="549" t="s">
        <v>1156</v>
      </c>
      <c r="D116" s="1263"/>
      <c r="E116" s="1068"/>
      <c r="F116" s="1204"/>
      <c r="G116" s="645"/>
      <c r="H116" s="437"/>
      <c r="I116" s="105"/>
      <c r="J116" s="132"/>
      <c r="K116" s="437"/>
      <c r="L116" s="535"/>
      <c r="M116" s="635"/>
      <c r="AH116" s="17">
        <v>0</v>
      </c>
    </row>
    <row r="117" spans="1:34" ht="18.75" hidden="1" customHeight="1">
      <c r="A117" s="163" t="s">
        <v>231</v>
      </c>
      <c r="B117" s="163" t="s">
        <v>232</v>
      </c>
      <c r="D117" s="1263"/>
      <c r="E117" s="1068"/>
      <c r="F117" s="1204" t="str">
        <f>INDEX(PT_DIFFERENTIATION_VTAR,MATCH(A117,PT_DIFFERENTIATION_VTAR_ID,0))</f>
        <v>Тариф на техническую воду</v>
      </c>
      <c r="G117" s="1238" t="str">
        <f>INDEX(PT_DIFFERENTIATION_NTAR,MATCH(B117,PT_DIFFERENTIATION_NTAR_ID,0))</f>
        <v/>
      </c>
      <c r="H117" s="247"/>
      <c r="I117" s="641"/>
      <c r="J117" s="642"/>
      <c r="K117" s="262"/>
      <c r="L117" s="247" t="s">
        <v>307</v>
      </c>
      <c r="M117" s="635"/>
      <c r="AH117" s="17">
        <v>0</v>
      </c>
    </row>
    <row r="118" spans="1:34" ht="18.75" hidden="1" customHeight="1">
      <c r="C118" s="549" t="s">
        <v>1149</v>
      </c>
      <c r="D118" s="1263"/>
      <c r="E118" s="1068"/>
      <c r="F118" s="1204"/>
      <c r="G118" s="1238"/>
      <c r="H118" s="437"/>
      <c r="I118" s="105" t="s">
        <v>1148</v>
      </c>
      <c r="J118" s="132"/>
      <c r="K118" s="437"/>
      <c r="L118" s="535"/>
      <c r="M118" s="635"/>
      <c r="AH118" s="17">
        <v>0</v>
      </c>
    </row>
    <row r="119" spans="1:34" ht="0.75" hidden="1" customHeight="1">
      <c r="C119" s="549" t="s">
        <v>1156</v>
      </c>
      <c r="D119" s="1263"/>
      <c r="E119" s="1068"/>
      <c r="F119" s="1204"/>
      <c r="G119" s="645"/>
      <c r="H119" s="437"/>
      <c r="I119" s="105"/>
      <c r="J119" s="132"/>
      <c r="K119" s="437"/>
      <c r="L119" s="535"/>
      <c r="M119" s="635"/>
      <c r="AH119" s="17">
        <v>0</v>
      </c>
    </row>
    <row r="120" spans="1:34" ht="18.75" hidden="1" customHeight="1">
      <c r="A120" s="163" t="s">
        <v>236</v>
      </c>
      <c r="B120" s="163" t="s">
        <v>237</v>
      </c>
      <c r="D120" s="1263"/>
      <c r="E120" s="1068"/>
      <c r="F120" s="1204" t="str">
        <f>INDEX(PT_DIFFERENTIATION_VTAR,MATCH(A120,PT_DIFFERENTIATION_VTAR_ID,0))</f>
        <v>Тариф на транспортировку воды</v>
      </c>
      <c r="G120" s="1238" t="str">
        <f>INDEX(PT_DIFFERENTIATION_NTAR,MATCH(B120,PT_DIFFERENTIATION_NTAR_ID,0))</f>
        <v/>
      </c>
      <c r="H120" s="247"/>
      <c r="I120" s="641"/>
      <c r="J120" s="642"/>
      <c r="K120" s="262"/>
      <c r="L120" s="247" t="s">
        <v>307</v>
      </c>
      <c r="M120" s="635"/>
      <c r="AH120" s="17">
        <v>0</v>
      </c>
    </row>
    <row r="121" spans="1:34" ht="18.75" hidden="1" customHeight="1">
      <c r="C121" s="549" t="s">
        <v>1149</v>
      </c>
      <c r="D121" s="1263"/>
      <c r="E121" s="1068"/>
      <c r="F121" s="1204"/>
      <c r="G121" s="1238"/>
      <c r="H121" s="437"/>
      <c r="I121" s="105" t="s">
        <v>1148</v>
      </c>
      <c r="J121" s="132"/>
      <c r="K121" s="437"/>
      <c r="L121" s="535"/>
      <c r="M121" s="635"/>
      <c r="AH121" s="17">
        <v>0</v>
      </c>
    </row>
    <row r="122" spans="1:34" ht="0.75" hidden="1" customHeight="1">
      <c r="C122" s="549" t="s">
        <v>1156</v>
      </c>
      <c r="D122" s="1263"/>
      <c r="E122" s="1068"/>
      <c r="F122" s="1204"/>
      <c r="G122" s="645"/>
      <c r="H122" s="437"/>
      <c r="I122" s="105"/>
      <c r="J122" s="132"/>
      <c r="K122" s="437"/>
      <c r="L122" s="535"/>
      <c r="M122" s="635"/>
      <c r="AH122" s="17">
        <v>0</v>
      </c>
    </row>
    <row r="123" spans="1:34" ht="18.75" hidden="1" customHeight="1">
      <c r="A123" s="163" t="s">
        <v>241</v>
      </c>
      <c r="B123" s="163" t="s">
        <v>242</v>
      </c>
      <c r="D123" s="1263"/>
      <c r="E123" s="1068"/>
      <c r="F123" s="1204" t="str">
        <f>INDEX(PT_DIFFERENTIATION_VTAR,MATCH(A123,PT_DIFFERENTIATION_VTAR_ID,0))</f>
        <v>Тариф на подвоз воды</v>
      </c>
      <c r="G123" s="1238" t="str">
        <f>INDEX(PT_DIFFERENTIATION_NTAR,MATCH(B123,PT_DIFFERENTIATION_NTAR_ID,0))</f>
        <v/>
      </c>
      <c r="H123" s="247"/>
      <c r="I123" s="641"/>
      <c r="J123" s="642"/>
      <c r="K123" s="262"/>
      <c r="L123" s="247" t="s">
        <v>307</v>
      </c>
      <c r="M123" s="635"/>
      <c r="AH123" s="17">
        <v>0</v>
      </c>
    </row>
    <row r="124" spans="1:34" ht="18.75" hidden="1" customHeight="1">
      <c r="C124" s="549" t="s">
        <v>1149</v>
      </c>
      <c r="D124" s="1263"/>
      <c r="E124" s="1068"/>
      <c r="F124" s="1204"/>
      <c r="G124" s="1238"/>
      <c r="H124" s="437"/>
      <c r="I124" s="105" t="s">
        <v>1148</v>
      </c>
      <c r="J124" s="132"/>
      <c r="K124" s="437"/>
      <c r="L124" s="535"/>
      <c r="M124" s="635"/>
      <c r="AH124" s="17">
        <v>0</v>
      </c>
    </row>
    <row r="125" spans="1:34" ht="0.75" hidden="1" customHeight="1">
      <c r="C125" s="549" t="s">
        <v>1156</v>
      </c>
      <c r="D125" s="1263"/>
      <c r="E125" s="1068"/>
      <c r="F125" s="1204"/>
      <c r="G125" s="645"/>
      <c r="H125" s="437"/>
      <c r="I125" s="105"/>
      <c r="J125" s="132"/>
      <c r="K125" s="437"/>
      <c r="L125" s="535"/>
      <c r="M125" s="635"/>
      <c r="AH125" s="17">
        <v>0</v>
      </c>
    </row>
    <row r="126" spans="1:34" ht="18.75" hidden="1" customHeight="1">
      <c r="A126" s="163" t="s">
        <v>246</v>
      </c>
      <c r="B126" s="163" t="s">
        <v>247</v>
      </c>
      <c r="D126" s="1263"/>
      <c r="E126" s="1068"/>
      <c r="F126" s="12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238" t="str">
        <f>INDEX(PT_DIFFERENTIATION_NTAR,MATCH(B126,PT_DIFFERENTIATION_NTAR_ID,0))</f>
        <v/>
      </c>
      <c r="H126" s="247"/>
      <c r="I126" s="641"/>
      <c r="J126" s="642"/>
      <c r="K126" s="262"/>
      <c r="L126" s="247" t="s">
        <v>307</v>
      </c>
      <c r="M126" s="635"/>
      <c r="AH126" s="17">
        <v>0</v>
      </c>
    </row>
    <row r="127" spans="1:34" ht="18.75" hidden="1" customHeight="1">
      <c r="C127" s="549" t="s">
        <v>1149</v>
      </c>
      <c r="D127" s="1263"/>
      <c r="E127" s="1068"/>
      <c r="F127" s="1204"/>
      <c r="G127" s="1238"/>
      <c r="H127" s="437"/>
      <c r="I127" s="105" t="s">
        <v>1148</v>
      </c>
      <c r="J127" s="132"/>
      <c r="K127" s="437"/>
      <c r="L127" s="535"/>
      <c r="M127" s="635"/>
      <c r="AH127" s="17">
        <v>0</v>
      </c>
    </row>
    <row r="128" spans="1:34" ht="0.75" hidden="1" customHeight="1">
      <c r="C128" s="549" t="s">
        <v>1156</v>
      </c>
      <c r="D128" s="1263"/>
      <c r="E128" s="1068"/>
      <c r="F128" s="1204"/>
      <c r="G128" s="645"/>
      <c r="H128" s="437"/>
      <c r="I128" s="105"/>
      <c r="J128" s="132"/>
      <c r="K128" s="437"/>
      <c r="L128" s="535"/>
      <c r="M128" s="635"/>
      <c r="AH128" s="17">
        <v>0</v>
      </c>
    </row>
    <row r="129" spans="1:34" ht="18.75" hidden="1" customHeight="1">
      <c r="A129" s="163" t="s">
        <v>251</v>
      </c>
      <c r="B129" s="163" t="s">
        <v>252</v>
      </c>
      <c r="D129" s="1263"/>
      <c r="E129" s="1068"/>
      <c r="F129" s="1204" t="str">
        <f>INDEX(PT_DIFFERENTIATION_VTAR,MATCH(A129,PT_DIFFERENTIATION_VTAR_ID,0))</f>
        <v>Тариф на горячую воду (горячее водоснабжение)</v>
      </c>
      <c r="G129" s="1238" t="str">
        <f>INDEX(PT_DIFFERENTIATION_NTAR,MATCH(B129,PT_DIFFERENTIATION_NTAR_ID,0))</f>
        <v/>
      </c>
      <c r="H129" s="247"/>
      <c r="I129" s="641"/>
      <c r="J129" s="642"/>
      <c r="K129" s="262"/>
      <c r="L129" s="247" t="s">
        <v>307</v>
      </c>
      <c r="M129" s="635"/>
      <c r="AH129" s="17">
        <v>0</v>
      </c>
    </row>
    <row r="130" spans="1:34" ht="18.75" hidden="1" customHeight="1">
      <c r="C130" s="549" t="s">
        <v>1149</v>
      </c>
      <c r="D130" s="1263"/>
      <c r="E130" s="1068"/>
      <c r="F130" s="1204"/>
      <c r="G130" s="1238"/>
      <c r="H130" s="437"/>
      <c r="I130" s="105" t="s">
        <v>1148</v>
      </c>
      <c r="J130" s="132"/>
      <c r="K130" s="437"/>
      <c r="L130" s="535"/>
      <c r="M130" s="635"/>
      <c r="AH130" s="17">
        <v>0</v>
      </c>
    </row>
    <row r="131" spans="1:34" ht="0.75" hidden="1" customHeight="1">
      <c r="C131" s="549" t="s">
        <v>1156</v>
      </c>
      <c r="D131" s="1263"/>
      <c r="E131" s="1068"/>
      <c r="F131" s="1204"/>
      <c r="G131" s="645"/>
      <c r="H131" s="437"/>
      <c r="I131" s="105"/>
      <c r="J131" s="132"/>
      <c r="K131" s="437"/>
      <c r="L131" s="535"/>
      <c r="M131" s="635"/>
      <c r="AH131" s="17">
        <v>0</v>
      </c>
    </row>
    <row r="132" spans="1:34" ht="18.75" hidden="1" customHeight="1">
      <c r="A132" s="163" t="s">
        <v>256</v>
      </c>
      <c r="B132" s="163" t="s">
        <v>257</v>
      </c>
      <c r="D132" s="1263"/>
      <c r="E132" s="1068"/>
      <c r="F132" s="1204" t="str">
        <f>INDEX(PT_DIFFERENTIATION_VTAR,MATCH(A132,PT_DIFFERENTIATION_VTAR_ID,0))</f>
        <v>Тариф на транспортировку горячей воды</v>
      </c>
      <c r="G132" s="1238" t="str">
        <f>INDEX(PT_DIFFERENTIATION_NTAR,MATCH(B132,PT_DIFFERENTIATION_NTAR_ID,0))</f>
        <v/>
      </c>
      <c r="H132" s="247"/>
      <c r="I132" s="641"/>
      <c r="J132" s="642"/>
      <c r="K132" s="262"/>
      <c r="L132" s="247" t="s">
        <v>307</v>
      </c>
      <c r="M132" s="635"/>
      <c r="AH132" s="17">
        <v>0</v>
      </c>
    </row>
    <row r="133" spans="1:34" ht="18.75" hidden="1" customHeight="1">
      <c r="C133" s="549" t="s">
        <v>1149</v>
      </c>
      <c r="D133" s="1263"/>
      <c r="E133" s="1068"/>
      <c r="F133" s="1204"/>
      <c r="G133" s="1238"/>
      <c r="H133" s="437"/>
      <c r="I133" s="105" t="s">
        <v>1148</v>
      </c>
      <c r="J133" s="132"/>
      <c r="K133" s="437"/>
      <c r="L133" s="535"/>
      <c r="M133" s="635"/>
      <c r="AH133" s="17">
        <v>0</v>
      </c>
    </row>
    <row r="134" spans="1:34" ht="0.75" hidden="1" customHeight="1">
      <c r="C134" s="549" t="s">
        <v>1156</v>
      </c>
      <c r="D134" s="1263"/>
      <c r="E134" s="1068"/>
      <c r="F134" s="1204"/>
      <c r="G134" s="645"/>
      <c r="H134" s="437"/>
      <c r="I134" s="105"/>
      <c r="J134" s="132"/>
      <c r="K134" s="437"/>
      <c r="L134" s="535"/>
      <c r="M134" s="635"/>
      <c r="AH134" s="17">
        <v>0</v>
      </c>
    </row>
    <row r="135" spans="1:34" ht="18.75" hidden="1" customHeight="1">
      <c r="A135" s="163" t="s">
        <v>261</v>
      </c>
      <c r="B135" s="163" t="s">
        <v>262</v>
      </c>
      <c r="D135" s="1263"/>
      <c r="E135" s="1068"/>
      <c r="F135" s="12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1238" t="str">
        <f>INDEX(PT_DIFFERENTIATION_NTAR,MATCH(B135,PT_DIFFERENTIATION_NTAR_ID,0))</f>
        <v/>
      </c>
      <c r="H135" s="247"/>
      <c r="I135" s="641"/>
      <c r="J135" s="642"/>
      <c r="K135" s="262"/>
      <c r="L135" s="247" t="s">
        <v>307</v>
      </c>
      <c r="M135" s="635"/>
      <c r="AH135" s="17">
        <v>0</v>
      </c>
    </row>
    <row r="136" spans="1:34" ht="18.75" hidden="1" customHeight="1">
      <c r="C136" s="549" t="s">
        <v>1149</v>
      </c>
      <c r="D136" s="1263"/>
      <c r="E136" s="1068"/>
      <c r="F136" s="1204"/>
      <c r="G136" s="1238"/>
      <c r="H136" s="437"/>
      <c r="I136" s="105" t="s">
        <v>1148</v>
      </c>
      <c r="J136" s="132"/>
      <c r="K136" s="437"/>
      <c r="L136" s="535"/>
      <c r="M136" s="635"/>
      <c r="AH136" s="17">
        <v>0</v>
      </c>
    </row>
    <row r="137" spans="1:34" ht="0.75" hidden="1" customHeight="1">
      <c r="C137" s="549" t="s">
        <v>1156</v>
      </c>
      <c r="D137" s="1263"/>
      <c r="E137" s="1068"/>
      <c r="F137" s="1204"/>
      <c r="G137" s="645"/>
      <c r="H137" s="437"/>
      <c r="I137" s="105"/>
      <c r="J137" s="132"/>
      <c r="K137" s="437"/>
      <c r="L137" s="535"/>
      <c r="M137" s="635"/>
      <c r="AH137" s="17">
        <v>0</v>
      </c>
    </row>
    <row r="138" spans="1:34" ht="18.75" hidden="1" customHeight="1">
      <c r="A138" s="163" t="s">
        <v>266</v>
      </c>
      <c r="B138" s="163" t="s">
        <v>267</v>
      </c>
      <c r="D138" s="1263"/>
      <c r="E138" s="1068"/>
      <c r="F138" s="1204" t="str">
        <f>INDEX(PT_DIFFERENTIATION_VTAR,MATCH(A138,PT_DIFFERENTIATION_VTAR_ID,0))</f>
        <v>Тариф на водоотведение</v>
      </c>
      <c r="G138" s="1238" t="str">
        <f>INDEX(PT_DIFFERENTIATION_NTAR,MATCH(B138,PT_DIFFERENTIATION_NTAR_ID,0))</f>
        <v/>
      </c>
      <c r="H138" s="247"/>
      <c r="I138" s="641"/>
      <c r="J138" s="642"/>
      <c r="K138" s="262"/>
      <c r="L138" s="247" t="s">
        <v>307</v>
      </c>
      <c r="M138" s="635"/>
      <c r="AH138" s="17">
        <v>0</v>
      </c>
    </row>
    <row r="139" spans="1:34" ht="18.75" hidden="1" customHeight="1">
      <c r="C139" s="549" t="s">
        <v>1149</v>
      </c>
      <c r="D139" s="1263"/>
      <c r="E139" s="1068"/>
      <c r="F139" s="1204"/>
      <c r="G139" s="1238"/>
      <c r="H139" s="437"/>
      <c r="I139" s="105" t="s">
        <v>1148</v>
      </c>
      <c r="J139" s="132"/>
      <c r="K139" s="437"/>
      <c r="L139" s="535"/>
      <c r="M139" s="635"/>
      <c r="AH139" s="17">
        <v>0</v>
      </c>
    </row>
    <row r="140" spans="1:34" ht="0.75" hidden="1" customHeight="1">
      <c r="C140" s="549" t="s">
        <v>1156</v>
      </c>
      <c r="D140" s="1263"/>
      <c r="E140" s="1068"/>
      <c r="F140" s="1204"/>
      <c r="G140" s="645"/>
      <c r="H140" s="437"/>
      <c r="I140" s="105"/>
      <c r="J140" s="132"/>
      <c r="K140" s="437"/>
      <c r="L140" s="535"/>
      <c r="M140" s="635"/>
      <c r="AH140" s="17">
        <v>0</v>
      </c>
    </row>
    <row r="141" spans="1:34" ht="18.75" hidden="1" customHeight="1">
      <c r="A141" s="163" t="s">
        <v>271</v>
      </c>
      <c r="B141" s="163" t="s">
        <v>272</v>
      </c>
      <c r="D141" s="1263"/>
      <c r="E141" s="1068"/>
      <c r="F141" s="1204" t="str">
        <f>INDEX(PT_DIFFERENTIATION_VTAR,MATCH(A141,PT_DIFFERENTIATION_VTAR_ID,0))</f>
        <v>Тариф на транспортировку сточных вод</v>
      </c>
      <c r="G141" s="1238" t="str">
        <f>INDEX(PT_DIFFERENTIATION_NTAR,MATCH(B141,PT_DIFFERENTIATION_NTAR_ID,0))</f>
        <v/>
      </c>
      <c r="H141" s="247"/>
      <c r="I141" s="641"/>
      <c r="J141" s="642"/>
      <c r="K141" s="262"/>
      <c r="L141" s="247" t="s">
        <v>307</v>
      </c>
      <c r="M141" s="635"/>
      <c r="AH141" s="17">
        <v>0</v>
      </c>
    </row>
    <row r="142" spans="1:34" ht="18.75" hidden="1" customHeight="1">
      <c r="C142" s="549" t="s">
        <v>1149</v>
      </c>
      <c r="D142" s="1263"/>
      <c r="E142" s="1068"/>
      <c r="F142" s="1204"/>
      <c r="G142" s="1238"/>
      <c r="H142" s="437"/>
      <c r="I142" s="105" t="s">
        <v>1148</v>
      </c>
      <c r="J142" s="132"/>
      <c r="K142" s="437"/>
      <c r="L142" s="535"/>
      <c r="M142" s="635"/>
      <c r="AH142" s="17">
        <v>0</v>
      </c>
    </row>
    <row r="143" spans="1:34" ht="0.75" hidden="1" customHeight="1">
      <c r="C143" s="549" t="s">
        <v>1156</v>
      </c>
      <c r="D143" s="1263"/>
      <c r="E143" s="1068"/>
      <c r="F143" s="1204"/>
      <c r="G143" s="645"/>
      <c r="H143" s="437"/>
      <c r="I143" s="105"/>
      <c r="J143" s="132"/>
      <c r="K143" s="437"/>
      <c r="L143" s="535"/>
      <c r="M143" s="635"/>
      <c r="AH143" s="17">
        <v>0</v>
      </c>
    </row>
    <row r="144" spans="1:34" ht="18.75" hidden="1" customHeight="1">
      <c r="A144" s="163" t="s">
        <v>276</v>
      </c>
      <c r="B144" s="163" t="s">
        <v>277</v>
      </c>
      <c r="D144" s="1263"/>
      <c r="E144" s="1068"/>
      <c r="F144" s="1204" t="str">
        <f>INDEX(PT_DIFFERENTIATION_VTAR,MATCH(A144,PT_DIFFERENTIATION_VTAR_ID,0))</f>
        <v>Тариф на подключение (технологическое присоединение) к централизованной системе водоотведения</v>
      </c>
      <c r="G144" s="1238" t="str">
        <f>INDEX(PT_DIFFERENTIATION_NTAR,MATCH(B144,PT_DIFFERENTIATION_NTAR_ID,0))</f>
        <v/>
      </c>
      <c r="H144" s="247"/>
      <c r="I144" s="641"/>
      <c r="J144" s="642"/>
      <c r="K144" s="262"/>
      <c r="L144" s="247" t="s">
        <v>307</v>
      </c>
      <c r="M144" s="635"/>
      <c r="AH144" s="17">
        <v>0</v>
      </c>
    </row>
    <row r="145" spans="1:34" ht="18.75" hidden="1" customHeight="1">
      <c r="C145" s="549" t="s">
        <v>1149</v>
      </c>
      <c r="D145" s="1263"/>
      <c r="E145" s="1068"/>
      <c r="F145" s="1204"/>
      <c r="G145" s="1238"/>
      <c r="H145" s="437"/>
      <c r="I145" s="105" t="s">
        <v>1148</v>
      </c>
      <c r="J145" s="132"/>
      <c r="K145" s="437"/>
      <c r="L145" s="535"/>
      <c r="M145" s="635"/>
      <c r="AH145" s="17">
        <v>0</v>
      </c>
    </row>
    <row r="146" spans="1:34" ht="1.1499999999999999" customHeight="1">
      <c r="C146" s="549" t="s">
        <v>1156</v>
      </c>
      <c r="D146" s="1263"/>
      <c r="E146" s="1068"/>
      <c r="F146" s="1204"/>
      <c r="G146" s="645"/>
      <c r="H146" s="437"/>
      <c r="I146" s="105"/>
      <c r="J146" s="132"/>
      <c r="K146" s="437"/>
      <c r="L146" s="535"/>
      <c r="M146" s="635"/>
      <c r="AH146" s="17">
        <v>1</v>
      </c>
    </row>
    <row r="147" spans="1:34" ht="19.899999999999999" customHeight="1">
      <c r="D147" s="333"/>
      <c r="E147" s="186" t="s">
        <v>91</v>
      </c>
      <c r="F147" s="12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262"/>
      <c r="H147" s="1262"/>
      <c r="I147" s="1262"/>
      <c r="J147" s="1262"/>
      <c r="K147" s="1262"/>
      <c r="L147" s="1262"/>
      <c r="M147" s="527"/>
      <c r="AH147" s="17">
        <v>19</v>
      </c>
    </row>
    <row r="148" spans="1:34" ht="60.75" hidden="1" customHeight="1">
      <c r="A148" s="163" t="s">
        <v>158</v>
      </c>
      <c r="B148" s="163" t="s">
        <v>159</v>
      </c>
      <c r="D148" s="1263"/>
      <c r="E148" s="1068"/>
      <c r="F148" s="12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238" t="str">
        <f>INDEX(PT_DIFFERENTIATION_NTAR,MATCH(B148,PT_DIFFERENTIATION_NTAR_ID,0))</f>
        <v/>
      </c>
      <c r="H148" s="247"/>
      <c r="I148" s="641"/>
      <c r="J148" s="642"/>
      <c r="K148" s="262"/>
      <c r="L148" s="247" t="s">
        <v>307</v>
      </c>
      <c r="M148" s="10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AH148" s="17">
        <v>0</v>
      </c>
    </row>
    <row r="149" spans="1:34" ht="18.75" hidden="1" customHeight="1">
      <c r="C149" s="549" t="s">
        <v>1149</v>
      </c>
      <c r="D149" s="1263"/>
      <c r="E149" s="1068"/>
      <c r="F149" s="1204"/>
      <c r="G149" s="1238"/>
      <c r="H149" s="437"/>
      <c r="I149" s="105" t="s">
        <v>1148</v>
      </c>
      <c r="J149" s="132"/>
      <c r="K149" s="437"/>
      <c r="L149" s="535"/>
      <c r="M149" s="1032"/>
      <c r="AH149" s="17">
        <v>0</v>
      </c>
    </row>
    <row r="150" spans="1:34" ht="0.75" hidden="1" customHeight="1">
      <c r="C150" s="549" t="s">
        <v>1156</v>
      </c>
      <c r="D150" s="1263"/>
      <c r="E150" s="1068"/>
      <c r="F150" s="1204"/>
      <c r="G150" s="645"/>
      <c r="H150" s="437"/>
      <c r="I150" s="105"/>
      <c r="J150" s="132"/>
      <c r="K150" s="437"/>
      <c r="L150" s="535"/>
      <c r="M150" s="1032"/>
      <c r="AH150" s="17">
        <v>0</v>
      </c>
    </row>
    <row r="151" spans="1:34" ht="45" hidden="1" customHeight="1">
      <c r="A151" s="163" t="s">
        <v>163</v>
      </c>
      <c r="B151" s="163" t="s">
        <v>164</v>
      </c>
      <c r="D151" s="1263"/>
      <c r="E151" s="1068"/>
      <c r="F151" s="1204" t="str">
        <f>INDEX(PT_DIFFERENTIATION_VTAR,MATCH(A151,PT_DIFFERENTIATION_VTAR_ID,0))</f>
        <v/>
      </c>
      <c r="G151" s="1238" t="str">
        <f>INDEX(PT_DIFFERENTIATION_NTAR,MATCH(B151,PT_DIFFERENTIATION_NTAR_ID,0))</f>
        <v/>
      </c>
      <c r="H151" s="247"/>
      <c r="I151" s="641"/>
      <c r="J151" s="642"/>
      <c r="K151" s="262"/>
      <c r="L151" s="247" t="s">
        <v>307</v>
      </c>
      <c r="M151" s="1033"/>
      <c r="AH151" s="17">
        <v>0</v>
      </c>
    </row>
    <row r="152" spans="1:34" ht="18.75" hidden="1" customHeight="1">
      <c r="C152" s="549" t="s">
        <v>1149</v>
      </c>
      <c r="D152" s="1263"/>
      <c r="E152" s="1068"/>
      <c r="F152" s="1204"/>
      <c r="G152" s="1238"/>
      <c r="H152" s="437"/>
      <c r="I152" s="105" t="s">
        <v>1148</v>
      </c>
      <c r="J152" s="132"/>
      <c r="K152" s="437"/>
      <c r="L152" s="535"/>
      <c r="M152" s="154"/>
      <c r="AH152" s="17">
        <v>0</v>
      </c>
    </row>
    <row r="153" spans="1:34" ht="0.75" hidden="1" customHeight="1">
      <c r="C153" s="549" t="s">
        <v>1156</v>
      </c>
      <c r="D153" s="1263"/>
      <c r="E153" s="1068"/>
      <c r="F153" s="1204"/>
      <c r="G153" s="645"/>
      <c r="H153" s="437"/>
      <c r="I153" s="105"/>
      <c r="J153" s="132"/>
      <c r="K153" s="437"/>
      <c r="L153" s="535"/>
      <c r="M153" s="635"/>
      <c r="AH153" s="17">
        <v>0</v>
      </c>
    </row>
    <row r="154" spans="1:34" ht="45" hidden="1" customHeight="1">
      <c r="A154" s="163" t="s">
        <v>170</v>
      </c>
      <c r="B154" s="163" t="s">
        <v>171</v>
      </c>
      <c r="D154" s="1263"/>
      <c r="E154" s="1068"/>
      <c r="F154" s="12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238" t="str">
        <f>INDEX(PT_DIFFERENTIATION_NTAR,MATCH(B154,PT_DIFFERENTIATION_NTAR_ID,0))</f>
        <v/>
      </c>
      <c r="H154" s="247"/>
      <c r="I154" s="641"/>
      <c r="J154" s="642"/>
      <c r="K154" s="262"/>
      <c r="L154" s="247" t="s">
        <v>307</v>
      </c>
      <c r="M154" s="635"/>
      <c r="AH154" s="17">
        <v>0</v>
      </c>
    </row>
    <row r="155" spans="1:34" ht="18.75" hidden="1" customHeight="1">
      <c r="C155" s="549" t="s">
        <v>1149</v>
      </c>
      <c r="D155" s="1263"/>
      <c r="E155" s="1068"/>
      <c r="F155" s="1204"/>
      <c r="G155" s="1238"/>
      <c r="H155" s="437"/>
      <c r="I155" s="105" t="s">
        <v>1148</v>
      </c>
      <c r="J155" s="132"/>
      <c r="K155" s="437"/>
      <c r="L155" s="535"/>
      <c r="M155" s="635"/>
      <c r="AH155" s="17">
        <v>0</v>
      </c>
    </row>
    <row r="156" spans="1:34" ht="0.75" hidden="1" customHeight="1">
      <c r="C156" s="549" t="s">
        <v>1156</v>
      </c>
      <c r="D156" s="1263"/>
      <c r="E156" s="1068"/>
      <c r="F156" s="1204"/>
      <c r="G156" s="645"/>
      <c r="H156" s="437"/>
      <c r="I156" s="105"/>
      <c r="J156" s="132"/>
      <c r="K156" s="437"/>
      <c r="L156" s="535"/>
      <c r="M156" s="635"/>
      <c r="AH156" s="17">
        <v>0</v>
      </c>
    </row>
    <row r="157" spans="1:34" ht="45" hidden="1" customHeight="1">
      <c r="A157" s="163" t="s">
        <v>176</v>
      </c>
      <c r="B157" s="163" t="s">
        <v>177</v>
      </c>
      <c r="D157" s="1263"/>
      <c r="E157" s="1068"/>
      <c r="F157" s="12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238" t="str">
        <f>INDEX(PT_DIFFERENTIATION_NTAR,MATCH(B157,PT_DIFFERENTIATION_NTAR_ID,0))</f>
        <v/>
      </c>
      <c r="H157" s="247"/>
      <c r="I157" s="641"/>
      <c r="J157" s="642"/>
      <c r="K157" s="262"/>
      <c r="L157" s="247" t="s">
        <v>307</v>
      </c>
      <c r="M157" s="635"/>
      <c r="AH157" s="17">
        <v>0</v>
      </c>
    </row>
    <row r="158" spans="1:34" ht="18.75" hidden="1" customHeight="1">
      <c r="C158" s="549" t="s">
        <v>1149</v>
      </c>
      <c r="D158" s="1263"/>
      <c r="E158" s="1068"/>
      <c r="F158" s="1204"/>
      <c r="G158" s="1238"/>
      <c r="H158" s="437"/>
      <c r="I158" s="105" t="s">
        <v>1148</v>
      </c>
      <c r="J158" s="132"/>
      <c r="K158" s="437"/>
      <c r="L158" s="535"/>
      <c r="M158" s="635"/>
      <c r="AH158" s="17">
        <v>0</v>
      </c>
    </row>
    <row r="159" spans="1:34" ht="0.75" hidden="1" customHeight="1">
      <c r="C159" s="549" t="s">
        <v>1156</v>
      </c>
      <c r="D159" s="1263"/>
      <c r="E159" s="1068"/>
      <c r="F159" s="1204"/>
      <c r="G159" s="645"/>
      <c r="H159" s="437"/>
      <c r="I159" s="105"/>
      <c r="J159" s="132"/>
      <c r="K159" s="437"/>
      <c r="L159" s="535"/>
      <c r="M159" s="635"/>
      <c r="AH159" s="17">
        <v>0</v>
      </c>
    </row>
    <row r="160" spans="1:34" ht="18.75" hidden="1" customHeight="1">
      <c r="A160" s="163" t="s">
        <v>182</v>
      </c>
      <c r="B160" s="163" t="s">
        <v>183</v>
      </c>
      <c r="D160" s="1263"/>
      <c r="E160" s="1068"/>
      <c r="F160" s="1204" t="str">
        <f>INDEX(PT_DIFFERENTIATION_VTAR,MATCH(A160,PT_DIFFERENTIATION_VTAR_ID,0))</f>
        <v>Тарифы на услуги по передаче тепловой энергии</v>
      </c>
      <c r="G160" s="1238" t="str">
        <f>INDEX(PT_DIFFERENTIATION_NTAR,MATCH(B160,PT_DIFFERENTIATION_NTAR_ID,0))</f>
        <v/>
      </c>
      <c r="H160" s="247"/>
      <c r="I160" s="641"/>
      <c r="J160" s="642"/>
      <c r="K160" s="262"/>
      <c r="L160" s="247" t="s">
        <v>307</v>
      </c>
      <c r="M160" s="635"/>
      <c r="AH160" s="17">
        <v>0</v>
      </c>
    </row>
    <row r="161" spans="1:34" ht="18.75" hidden="1" customHeight="1">
      <c r="C161" s="549" t="s">
        <v>1149</v>
      </c>
      <c r="D161" s="1263"/>
      <c r="E161" s="1068"/>
      <c r="F161" s="1204"/>
      <c r="G161" s="1238"/>
      <c r="H161" s="437"/>
      <c r="I161" s="105" t="s">
        <v>1148</v>
      </c>
      <c r="J161" s="132"/>
      <c r="K161" s="437"/>
      <c r="L161" s="535"/>
      <c r="M161" s="635"/>
      <c r="AH161" s="17">
        <v>0</v>
      </c>
    </row>
    <row r="162" spans="1:34" ht="0.75" hidden="1" customHeight="1">
      <c r="C162" s="549" t="s">
        <v>1156</v>
      </c>
      <c r="D162" s="1263"/>
      <c r="E162" s="1068"/>
      <c r="F162" s="1204"/>
      <c r="G162" s="645"/>
      <c r="H162" s="437"/>
      <c r="I162" s="105"/>
      <c r="J162" s="132"/>
      <c r="K162" s="437"/>
      <c r="L162" s="535"/>
      <c r="M162" s="635"/>
      <c r="AH162" s="17">
        <v>0</v>
      </c>
    </row>
    <row r="163" spans="1:34" ht="18.75" hidden="1" customHeight="1">
      <c r="A163" s="163" t="s">
        <v>188</v>
      </c>
      <c r="B163" s="163" t="s">
        <v>189</v>
      </c>
      <c r="D163" s="1263"/>
      <c r="E163" s="1068"/>
      <c r="F163" s="1204" t="str">
        <f>INDEX(PT_DIFFERENTIATION_VTAR,MATCH(A163,PT_DIFFERENTIATION_VTAR_ID,0))</f>
        <v>Тарифы на услуги по передаче теплоносителя</v>
      </c>
      <c r="G163" s="1238" t="str">
        <f>INDEX(PT_DIFFERENTIATION_NTAR,MATCH(B163,PT_DIFFERENTIATION_NTAR_ID,0))</f>
        <v/>
      </c>
      <c r="H163" s="247"/>
      <c r="I163" s="641"/>
      <c r="J163" s="642"/>
      <c r="K163" s="262"/>
      <c r="L163" s="247" t="s">
        <v>307</v>
      </c>
      <c r="M163" s="635"/>
      <c r="AH163" s="17">
        <v>0</v>
      </c>
    </row>
    <row r="164" spans="1:34" ht="18.75" hidden="1" customHeight="1">
      <c r="C164" s="549" t="s">
        <v>1149</v>
      </c>
      <c r="D164" s="1263"/>
      <c r="E164" s="1068"/>
      <c r="F164" s="1204"/>
      <c r="G164" s="1238"/>
      <c r="H164" s="437"/>
      <c r="I164" s="105" t="s">
        <v>1148</v>
      </c>
      <c r="J164" s="132"/>
      <c r="K164" s="437"/>
      <c r="L164" s="535"/>
      <c r="M164" s="635"/>
      <c r="AH164" s="17">
        <v>0</v>
      </c>
    </row>
    <row r="165" spans="1:34" ht="0.75" hidden="1" customHeight="1">
      <c r="C165" s="549" t="s">
        <v>1156</v>
      </c>
      <c r="D165" s="1263"/>
      <c r="E165" s="1068"/>
      <c r="F165" s="1204"/>
      <c r="G165" s="645"/>
      <c r="H165" s="437"/>
      <c r="I165" s="105"/>
      <c r="J165" s="132"/>
      <c r="K165" s="437"/>
      <c r="L165" s="535"/>
      <c r="M165" s="635"/>
      <c r="AH165" s="17">
        <v>0</v>
      </c>
    </row>
    <row r="166" spans="1:34" ht="18.75" hidden="1" customHeight="1">
      <c r="A166" s="163" t="s">
        <v>194</v>
      </c>
      <c r="B166" s="163" t="s">
        <v>195</v>
      </c>
      <c r="D166" s="1263"/>
      <c r="E166" s="1068"/>
      <c r="F166" s="12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238" t="str">
        <f>INDEX(PT_DIFFERENTIATION_NTAR,MATCH(B166,PT_DIFFERENTIATION_NTAR_ID,0))</f>
        <v/>
      </c>
      <c r="H166" s="247"/>
      <c r="I166" s="641"/>
      <c r="J166" s="642"/>
      <c r="K166" s="262"/>
      <c r="L166" s="247" t="s">
        <v>307</v>
      </c>
      <c r="M166" s="635"/>
      <c r="AH166" s="17">
        <v>0</v>
      </c>
    </row>
    <row r="167" spans="1:34" ht="18.75" hidden="1" customHeight="1">
      <c r="C167" s="549" t="s">
        <v>1149</v>
      </c>
      <c r="D167" s="1263"/>
      <c r="E167" s="1068"/>
      <c r="F167" s="1204"/>
      <c r="G167" s="1238"/>
      <c r="H167" s="437"/>
      <c r="I167" s="105" t="s">
        <v>1148</v>
      </c>
      <c r="J167" s="132"/>
      <c r="K167" s="437"/>
      <c r="L167" s="535"/>
      <c r="M167" s="635"/>
      <c r="AH167" s="17">
        <v>0</v>
      </c>
    </row>
    <row r="168" spans="1:34" ht="0.75" hidden="1" customHeight="1">
      <c r="C168" s="549" t="s">
        <v>1156</v>
      </c>
      <c r="D168" s="1263"/>
      <c r="E168" s="1068"/>
      <c r="F168" s="1204"/>
      <c r="G168" s="645"/>
      <c r="H168" s="437"/>
      <c r="I168" s="105"/>
      <c r="J168" s="132"/>
      <c r="K168" s="437"/>
      <c r="L168" s="535"/>
      <c r="M168" s="635"/>
      <c r="AH168" s="17">
        <v>0</v>
      </c>
    </row>
    <row r="169" spans="1:34" ht="18.75" hidden="1" customHeight="1">
      <c r="A169" s="163" t="s">
        <v>200</v>
      </c>
      <c r="B169" s="163" t="s">
        <v>201</v>
      </c>
      <c r="D169" s="1263"/>
      <c r="E169" s="1068"/>
      <c r="F169" s="1204" t="str">
        <f>INDEX(PT_DIFFERENTIATION_VTAR,MATCH(A169,PT_DIFFERENTIATION_VTAR_ID,0))</f>
        <v>Плата за подключение (технологическое присоединение) к системе теплоснабжения</v>
      </c>
      <c r="G169" s="1238" t="str">
        <f>INDEX(PT_DIFFERENTIATION_NTAR,MATCH(B169,PT_DIFFERENTIATION_NTAR_ID,0))</f>
        <v/>
      </c>
      <c r="H169" s="247"/>
      <c r="I169" s="641"/>
      <c r="J169" s="642"/>
      <c r="K169" s="262"/>
      <c r="L169" s="247" t="s">
        <v>307</v>
      </c>
      <c r="M169" s="635"/>
      <c r="AH169" s="17">
        <v>0</v>
      </c>
    </row>
    <row r="170" spans="1:34" ht="18.75" hidden="1" customHeight="1">
      <c r="C170" s="549" t="s">
        <v>1149</v>
      </c>
      <c r="D170" s="1263"/>
      <c r="E170" s="1068"/>
      <c r="F170" s="1204"/>
      <c r="G170" s="1238"/>
      <c r="H170" s="437"/>
      <c r="I170" s="105" t="s">
        <v>1148</v>
      </c>
      <c r="J170" s="132"/>
      <c r="K170" s="437"/>
      <c r="L170" s="535"/>
      <c r="M170" s="635"/>
      <c r="AH170" s="17">
        <v>0</v>
      </c>
    </row>
    <row r="171" spans="1:34" ht="0.75" hidden="1" customHeight="1">
      <c r="C171" s="549" t="s">
        <v>1156</v>
      </c>
      <c r="D171" s="1263"/>
      <c r="E171" s="1068"/>
      <c r="F171" s="1204"/>
      <c r="G171" s="645"/>
      <c r="H171" s="437"/>
      <c r="I171" s="105"/>
      <c r="J171" s="132"/>
      <c r="K171" s="437"/>
      <c r="L171" s="535"/>
      <c r="M171" s="635"/>
      <c r="AH171" s="17">
        <v>0</v>
      </c>
    </row>
    <row r="172" spans="1:34" ht="18.75" hidden="1" customHeight="1">
      <c r="A172" s="163" t="s">
        <v>206</v>
      </c>
      <c r="B172" s="163" t="s">
        <v>207</v>
      </c>
      <c r="D172" s="1263"/>
      <c r="E172" s="1068"/>
      <c r="F172" s="1204" t="str">
        <f>INDEX(PT_DIFFERENTIATION_VTAR,MATCH(A172,PT_DIFFERENTIATION_VTAR_ID,0))</f>
        <v>Плата за подключение (технологическое присоединение) к системе теплоснабжения (индивидуальная)</v>
      </c>
      <c r="G172" s="1238" t="str">
        <f>INDEX(PT_DIFFERENTIATION_NTAR,MATCH(B172,PT_DIFFERENTIATION_NTAR_ID,0))</f>
        <v/>
      </c>
      <c r="H172" s="247"/>
      <c r="I172" s="641"/>
      <c r="J172" s="642"/>
      <c r="K172" s="262"/>
      <c r="L172" s="247" t="s">
        <v>307</v>
      </c>
      <c r="M172" s="635"/>
      <c r="AH172" s="17">
        <v>0</v>
      </c>
    </row>
    <row r="173" spans="1:34" ht="18.75" hidden="1" customHeight="1">
      <c r="C173" s="549" t="s">
        <v>1149</v>
      </c>
      <c r="D173" s="1263"/>
      <c r="E173" s="1068"/>
      <c r="F173" s="1204"/>
      <c r="G173" s="1238"/>
      <c r="H173" s="437"/>
      <c r="I173" s="105" t="s">
        <v>1148</v>
      </c>
      <c r="J173" s="132"/>
      <c r="K173" s="437"/>
      <c r="L173" s="535"/>
      <c r="M173" s="635"/>
      <c r="AH173" s="17">
        <v>0</v>
      </c>
    </row>
    <row r="174" spans="1:34" ht="0.75" hidden="1" customHeight="1">
      <c r="C174" s="549" t="s">
        <v>1156</v>
      </c>
      <c r="D174" s="1263"/>
      <c r="E174" s="1068"/>
      <c r="F174" s="1204"/>
      <c r="G174" s="645"/>
      <c r="H174" s="437"/>
      <c r="I174" s="105"/>
      <c r="J174" s="132"/>
      <c r="K174" s="437"/>
      <c r="L174" s="535"/>
      <c r="M174" s="635"/>
      <c r="AH174" s="17">
        <v>0</v>
      </c>
    </row>
    <row r="175" spans="1:34" ht="18.75" hidden="1" customHeight="1">
      <c r="A175" s="163" t="s">
        <v>226</v>
      </c>
      <c r="B175" s="163" t="s">
        <v>227</v>
      </c>
      <c r="D175" s="1263"/>
      <c r="E175" s="1068"/>
      <c r="F175" s="1204" t="str">
        <f>INDEX(PT_DIFFERENTIATION_VTAR,MATCH(A175,PT_DIFFERENTIATION_VTAR_ID,0))</f>
        <v>Тариф на питьевую воду (питьевое водоснабжение)</v>
      </c>
      <c r="G175" s="1238" t="str">
        <f>INDEX(PT_DIFFERENTIATION_NTAR,MATCH(B175,PT_DIFFERENTIATION_NTAR_ID,0))</f>
        <v/>
      </c>
      <c r="H175" s="247"/>
      <c r="I175" s="641"/>
      <c r="J175" s="642"/>
      <c r="K175" s="262"/>
      <c r="L175" s="247" t="s">
        <v>307</v>
      </c>
      <c r="M175" s="635"/>
      <c r="AH175" s="17">
        <v>0</v>
      </c>
    </row>
    <row r="176" spans="1:34" ht="18.75" hidden="1" customHeight="1">
      <c r="C176" s="549" t="s">
        <v>1149</v>
      </c>
      <c r="D176" s="1263"/>
      <c r="E176" s="1068"/>
      <c r="F176" s="1204"/>
      <c r="G176" s="1238"/>
      <c r="H176" s="437"/>
      <c r="I176" s="105" t="s">
        <v>1148</v>
      </c>
      <c r="J176" s="132"/>
      <c r="K176" s="437"/>
      <c r="L176" s="535"/>
      <c r="M176" s="635"/>
      <c r="AH176" s="17">
        <v>0</v>
      </c>
    </row>
    <row r="177" spans="1:34" ht="0.75" hidden="1" customHeight="1">
      <c r="C177" s="549" t="s">
        <v>1156</v>
      </c>
      <c r="D177" s="1263"/>
      <c r="E177" s="1068"/>
      <c r="F177" s="1204"/>
      <c r="G177" s="645"/>
      <c r="H177" s="437"/>
      <c r="I177" s="105"/>
      <c r="J177" s="132"/>
      <c r="K177" s="437"/>
      <c r="L177" s="535"/>
      <c r="M177" s="635"/>
      <c r="AH177" s="17">
        <v>0</v>
      </c>
    </row>
    <row r="178" spans="1:34" ht="18.75" hidden="1" customHeight="1">
      <c r="A178" s="163" t="s">
        <v>231</v>
      </c>
      <c r="B178" s="163" t="s">
        <v>232</v>
      </c>
      <c r="D178" s="1263"/>
      <c r="E178" s="1068"/>
      <c r="F178" s="1204" t="str">
        <f>INDEX(PT_DIFFERENTIATION_VTAR,MATCH(A178,PT_DIFFERENTIATION_VTAR_ID,0))</f>
        <v>Тариф на техническую воду</v>
      </c>
      <c r="G178" s="1238" t="str">
        <f>INDEX(PT_DIFFERENTIATION_NTAR,MATCH(B178,PT_DIFFERENTIATION_NTAR_ID,0))</f>
        <v/>
      </c>
      <c r="H178" s="247"/>
      <c r="I178" s="641"/>
      <c r="J178" s="642"/>
      <c r="K178" s="262"/>
      <c r="L178" s="247" t="s">
        <v>307</v>
      </c>
      <c r="M178" s="635"/>
      <c r="AH178" s="17">
        <v>0</v>
      </c>
    </row>
    <row r="179" spans="1:34" ht="18.75" hidden="1" customHeight="1">
      <c r="C179" s="549" t="s">
        <v>1149</v>
      </c>
      <c r="D179" s="1263"/>
      <c r="E179" s="1068"/>
      <c r="F179" s="1204"/>
      <c r="G179" s="1238"/>
      <c r="H179" s="437"/>
      <c r="I179" s="105" t="s">
        <v>1148</v>
      </c>
      <c r="J179" s="132"/>
      <c r="K179" s="437"/>
      <c r="L179" s="535"/>
      <c r="M179" s="635"/>
      <c r="AH179" s="17">
        <v>0</v>
      </c>
    </row>
    <row r="180" spans="1:34" ht="0.75" hidden="1" customHeight="1">
      <c r="C180" s="549" t="s">
        <v>1156</v>
      </c>
      <c r="D180" s="1263"/>
      <c r="E180" s="1068"/>
      <c r="F180" s="1204"/>
      <c r="G180" s="645"/>
      <c r="H180" s="437"/>
      <c r="I180" s="105"/>
      <c r="J180" s="132"/>
      <c r="K180" s="437"/>
      <c r="L180" s="535"/>
      <c r="M180" s="635"/>
      <c r="AH180" s="17">
        <v>0</v>
      </c>
    </row>
    <row r="181" spans="1:34" ht="18.75" hidden="1" customHeight="1">
      <c r="A181" s="163" t="s">
        <v>236</v>
      </c>
      <c r="B181" s="163" t="s">
        <v>237</v>
      </c>
      <c r="D181" s="1263"/>
      <c r="E181" s="1068"/>
      <c r="F181" s="1204" t="str">
        <f>INDEX(PT_DIFFERENTIATION_VTAR,MATCH(A181,PT_DIFFERENTIATION_VTAR_ID,0))</f>
        <v>Тариф на транспортировку воды</v>
      </c>
      <c r="G181" s="1238" t="str">
        <f>INDEX(PT_DIFFERENTIATION_NTAR,MATCH(B181,PT_DIFFERENTIATION_NTAR_ID,0))</f>
        <v/>
      </c>
      <c r="H181" s="247"/>
      <c r="I181" s="641"/>
      <c r="J181" s="642"/>
      <c r="K181" s="262"/>
      <c r="L181" s="247" t="s">
        <v>307</v>
      </c>
      <c r="M181" s="635"/>
      <c r="AH181" s="17">
        <v>0</v>
      </c>
    </row>
    <row r="182" spans="1:34" ht="18.75" hidden="1" customHeight="1">
      <c r="C182" s="549" t="s">
        <v>1149</v>
      </c>
      <c r="D182" s="1263"/>
      <c r="E182" s="1068"/>
      <c r="F182" s="1204"/>
      <c r="G182" s="1238"/>
      <c r="H182" s="437"/>
      <c r="I182" s="105" t="s">
        <v>1148</v>
      </c>
      <c r="J182" s="132"/>
      <c r="K182" s="437"/>
      <c r="L182" s="535"/>
      <c r="M182" s="635"/>
      <c r="AH182" s="17">
        <v>0</v>
      </c>
    </row>
    <row r="183" spans="1:34" ht="0.75" hidden="1" customHeight="1">
      <c r="C183" s="549" t="s">
        <v>1156</v>
      </c>
      <c r="D183" s="1263"/>
      <c r="E183" s="1068"/>
      <c r="F183" s="1204"/>
      <c r="G183" s="645"/>
      <c r="H183" s="437"/>
      <c r="I183" s="105"/>
      <c r="J183" s="132"/>
      <c r="K183" s="437"/>
      <c r="L183" s="535"/>
      <c r="M183" s="635"/>
      <c r="AH183" s="17">
        <v>0</v>
      </c>
    </row>
    <row r="184" spans="1:34" ht="18.75" hidden="1" customHeight="1">
      <c r="A184" s="163" t="s">
        <v>241</v>
      </c>
      <c r="B184" s="163" t="s">
        <v>242</v>
      </c>
      <c r="D184" s="1263"/>
      <c r="E184" s="1068"/>
      <c r="F184" s="1204" t="str">
        <f>INDEX(PT_DIFFERENTIATION_VTAR,MATCH(A184,PT_DIFFERENTIATION_VTAR_ID,0))</f>
        <v>Тариф на подвоз воды</v>
      </c>
      <c r="G184" s="1238" t="str">
        <f>INDEX(PT_DIFFERENTIATION_NTAR,MATCH(B184,PT_DIFFERENTIATION_NTAR_ID,0))</f>
        <v/>
      </c>
      <c r="H184" s="247"/>
      <c r="I184" s="641"/>
      <c r="J184" s="642"/>
      <c r="K184" s="262"/>
      <c r="L184" s="247" t="s">
        <v>307</v>
      </c>
      <c r="M184" s="635"/>
      <c r="AH184" s="17">
        <v>0</v>
      </c>
    </row>
    <row r="185" spans="1:34" ht="18.75" hidden="1" customHeight="1">
      <c r="C185" s="549" t="s">
        <v>1149</v>
      </c>
      <c r="D185" s="1263"/>
      <c r="E185" s="1068"/>
      <c r="F185" s="1204"/>
      <c r="G185" s="1238"/>
      <c r="H185" s="437"/>
      <c r="I185" s="105" t="s">
        <v>1148</v>
      </c>
      <c r="J185" s="132"/>
      <c r="K185" s="437"/>
      <c r="L185" s="535"/>
      <c r="M185" s="635"/>
      <c r="AH185" s="17">
        <v>0</v>
      </c>
    </row>
    <row r="186" spans="1:34" ht="0.75" hidden="1" customHeight="1">
      <c r="C186" s="549" t="s">
        <v>1156</v>
      </c>
      <c r="D186" s="1263"/>
      <c r="E186" s="1068"/>
      <c r="F186" s="1204"/>
      <c r="G186" s="645"/>
      <c r="H186" s="437"/>
      <c r="I186" s="105"/>
      <c r="J186" s="132"/>
      <c r="K186" s="437"/>
      <c r="L186" s="535"/>
      <c r="M186" s="635"/>
      <c r="AH186" s="17">
        <v>0</v>
      </c>
    </row>
    <row r="187" spans="1:34" ht="18.75" hidden="1" customHeight="1">
      <c r="A187" s="163" t="s">
        <v>246</v>
      </c>
      <c r="B187" s="163" t="s">
        <v>247</v>
      </c>
      <c r="D187" s="1263"/>
      <c r="E187" s="1068"/>
      <c r="F187" s="12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238" t="str">
        <f>INDEX(PT_DIFFERENTIATION_NTAR,MATCH(B187,PT_DIFFERENTIATION_NTAR_ID,0))</f>
        <v/>
      </c>
      <c r="H187" s="247"/>
      <c r="I187" s="641"/>
      <c r="J187" s="642"/>
      <c r="K187" s="262"/>
      <c r="L187" s="247" t="s">
        <v>307</v>
      </c>
      <c r="M187" s="635"/>
      <c r="AH187" s="17">
        <v>0</v>
      </c>
    </row>
    <row r="188" spans="1:34" ht="18.75" hidden="1" customHeight="1">
      <c r="C188" s="549" t="s">
        <v>1149</v>
      </c>
      <c r="D188" s="1263"/>
      <c r="E188" s="1068"/>
      <c r="F188" s="1204"/>
      <c r="G188" s="1238"/>
      <c r="H188" s="437"/>
      <c r="I188" s="105" t="s">
        <v>1148</v>
      </c>
      <c r="J188" s="132"/>
      <c r="K188" s="437"/>
      <c r="L188" s="535"/>
      <c r="M188" s="635"/>
      <c r="AH188" s="17">
        <v>0</v>
      </c>
    </row>
    <row r="189" spans="1:34" ht="0.75" hidden="1" customHeight="1">
      <c r="C189" s="549" t="s">
        <v>1156</v>
      </c>
      <c r="D189" s="1263"/>
      <c r="E189" s="1068"/>
      <c r="F189" s="1204"/>
      <c r="G189" s="645"/>
      <c r="H189" s="437"/>
      <c r="I189" s="105"/>
      <c r="J189" s="132"/>
      <c r="K189" s="437"/>
      <c r="L189" s="535"/>
      <c r="M189" s="635"/>
      <c r="AH189" s="17">
        <v>0</v>
      </c>
    </row>
    <row r="190" spans="1:34" ht="18.75" hidden="1" customHeight="1">
      <c r="A190" s="163" t="s">
        <v>251</v>
      </c>
      <c r="B190" s="163" t="s">
        <v>252</v>
      </c>
      <c r="D190" s="1263"/>
      <c r="E190" s="1068"/>
      <c r="F190" s="1204" t="str">
        <f>INDEX(PT_DIFFERENTIATION_VTAR,MATCH(A190,PT_DIFFERENTIATION_VTAR_ID,0))</f>
        <v>Тариф на горячую воду (горячее водоснабжение)</v>
      </c>
      <c r="G190" s="1238" t="str">
        <f>INDEX(PT_DIFFERENTIATION_NTAR,MATCH(B190,PT_DIFFERENTIATION_NTAR_ID,0))</f>
        <v/>
      </c>
      <c r="H190" s="247"/>
      <c r="I190" s="641"/>
      <c r="J190" s="642"/>
      <c r="K190" s="262"/>
      <c r="L190" s="247" t="s">
        <v>307</v>
      </c>
      <c r="M190" s="635"/>
      <c r="AH190" s="17">
        <v>0</v>
      </c>
    </row>
    <row r="191" spans="1:34" ht="18.75" hidden="1" customHeight="1">
      <c r="C191" s="549" t="s">
        <v>1149</v>
      </c>
      <c r="D191" s="1263"/>
      <c r="E191" s="1068"/>
      <c r="F191" s="1204"/>
      <c r="G191" s="1238"/>
      <c r="H191" s="437"/>
      <c r="I191" s="105" t="s">
        <v>1148</v>
      </c>
      <c r="J191" s="132"/>
      <c r="K191" s="437"/>
      <c r="L191" s="535"/>
      <c r="M191" s="635"/>
      <c r="AH191" s="17">
        <v>0</v>
      </c>
    </row>
    <row r="192" spans="1:34" ht="0.75" hidden="1" customHeight="1">
      <c r="C192" s="549" t="s">
        <v>1156</v>
      </c>
      <c r="D192" s="1263"/>
      <c r="E192" s="1068"/>
      <c r="F192" s="1204"/>
      <c r="G192" s="645"/>
      <c r="H192" s="437"/>
      <c r="I192" s="105"/>
      <c r="J192" s="132"/>
      <c r="K192" s="437"/>
      <c r="L192" s="535"/>
      <c r="M192" s="635"/>
      <c r="AH192" s="17">
        <v>0</v>
      </c>
    </row>
    <row r="193" spans="1:34" ht="18.75" hidden="1" customHeight="1">
      <c r="A193" s="163" t="s">
        <v>256</v>
      </c>
      <c r="B193" s="163" t="s">
        <v>257</v>
      </c>
      <c r="D193" s="1263"/>
      <c r="E193" s="1068"/>
      <c r="F193" s="1204" t="str">
        <f>INDEX(PT_DIFFERENTIATION_VTAR,MATCH(A193,PT_DIFFERENTIATION_VTAR_ID,0))</f>
        <v>Тариф на транспортировку горячей воды</v>
      </c>
      <c r="G193" s="1238" t="str">
        <f>INDEX(PT_DIFFERENTIATION_NTAR,MATCH(B193,PT_DIFFERENTIATION_NTAR_ID,0))</f>
        <v/>
      </c>
      <c r="H193" s="247"/>
      <c r="I193" s="641"/>
      <c r="J193" s="642"/>
      <c r="K193" s="262"/>
      <c r="L193" s="247" t="s">
        <v>307</v>
      </c>
      <c r="M193" s="635"/>
      <c r="AH193" s="17">
        <v>0</v>
      </c>
    </row>
    <row r="194" spans="1:34" ht="18.75" hidden="1" customHeight="1">
      <c r="C194" s="549" t="s">
        <v>1149</v>
      </c>
      <c r="D194" s="1263"/>
      <c r="E194" s="1068"/>
      <c r="F194" s="1204"/>
      <c r="G194" s="1238"/>
      <c r="H194" s="437"/>
      <c r="I194" s="105" t="s">
        <v>1148</v>
      </c>
      <c r="J194" s="132"/>
      <c r="K194" s="437"/>
      <c r="L194" s="535"/>
      <c r="M194" s="635"/>
      <c r="AH194" s="17">
        <v>0</v>
      </c>
    </row>
    <row r="195" spans="1:34" ht="0.75" hidden="1" customHeight="1">
      <c r="C195" s="549" t="s">
        <v>1156</v>
      </c>
      <c r="D195" s="1263"/>
      <c r="E195" s="1068"/>
      <c r="F195" s="1204"/>
      <c r="G195" s="645"/>
      <c r="H195" s="437"/>
      <c r="I195" s="105"/>
      <c r="J195" s="132"/>
      <c r="K195" s="437"/>
      <c r="L195" s="535"/>
      <c r="M195" s="635"/>
      <c r="AH195" s="17">
        <v>0</v>
      </c>
    </row>
    <row r="196" spans="1:34" ht="18.75" hidden="1" customHeight="1">
      <c r="A196" s="163" t="s">
        <v>261</v>
      </c>
      <c r="B196" s="163" t="s">
        <v>262</v>
      </c>
      <c r="D196" s="1263"/>
      <c r="E196" s="1068"/>
      <c r="F196" s="12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1238" t="str">
        <f>INDEX(PT_DIFFERENTIATION_NTAR,MATCH(B196,PT_DIFFERENTIATION_NTAR_ID,0))</f>
        <v/>
      </c>
      <c r="H196" s="247"/>
      <c r="I196" s="641"/>
      <c r="J196" s="642"/>
      <c r="K196" s="262"/>
      <c r="L196" s="247" t="s">
        <v>307</v>
      </c>
      <c r="M196" s="635"/>
      <c r="AH196" s="17">
        <v>0</v>
      </c>
    </row>
    <row r="197" spans="1:34" ht="18.75" hidden="1" customHeight="1">
      <c r="C197" s="549" t="s">
        <v>1149</v>
      </c>
      <c r="D197" s="1263"/>
      <c r="E197" s="1068"/>
      <c r="F197" s="1204"/>
      <c r="G197" s="1238"/>
      <c r="H197" s="437"/>
      <c r="I197" s="105" t="s">
        <v>1148</v>
      </c>
      <c r="J197" s="132"/>
      <c r="K197" s="437"/>
      <c r="L197" s="535"/>
      <c r="M197" s="635"/>
      <c r="AH197" s="17">
        <v>0</v>
      </c>
    </row>
    <row r="198" spans="1:34" ht="0.75" hidden="1" customHeight="1">
      <c r="C198" s="549" t="s">
        <v>1156</v>
      </c>
      <c r="D198" s="1263"/>
      <c r="E198" s="1068"/>
      <c r="F198" s="1204"/>
      <c r="G198" s="645"/>
      <c r="H198" s="437"/>
      <c r="I198" s="105"/>
      <c r="J198" s="132"/>
      <c r="K198" s="437"/>
      <c r="L198" s="535"/>
      <c r="M198" s="635"/>
      <c r="AH198" s="17">
        <v>0</v>
      </c>
    </row>
    <row r="199" spans="1:34" ht="18.75" hidden="1" customHeight="1">
      <c r="A199" s="163" t="s">
        <v>266</v>
      </c>
      <c r="B199" s="163" t="s">
        <v>267</v>
      </c>
      <c r="D199" s="1263"/>
      <c r="E199" s="1068"/>
      <c r="F199" s="1204" t="str">
        <f>INDEX(PT_DIFFERENTIATION_VTAR,MATCH(A199,PT_DIFFERENTIATION_VTAR_ID,0))</f>
        <v>Тариф на водоотведение</v>
      </c>
      <c r="G199" s="1238" t="str">
        <f>INDEX(PT_DIFFERENTIATION_NTAR,MATCH(B199,PT_DIFFERENTIATION_NTAR_ID,0))</f>
        <v/>
      </c>
      <c r="H199" s="247"/>
      <c r="I199" s="641"/>
      <c r="J199" s="642"/>
      <c r="K199" s="262"/>
      <c r="L199" s="247" t="s">
        <v>307</v>
      </c>
      <c r="M199" s="635"/>
      <c r="AH199" s="17">
        <v>0</v>
      </c>
    </row>
    <row r="200" spans="1:34" ht="18.75" hidden="1" customHeight="1">
      <c r="C200" s="549" t="s">
        <v>1149</v>
      </c>
      <c r="D200" s="1263"/>
      <c r="E200" s="1068"/>
      <c r="F200" s="1204"/>
      <c r="G200" s="1238"/>
      <c r="H200" s="437"/>
      <c r="I200" s="105" t="s">
        <v>1148</v>
      </c>
      <c r="J200" s="132"/>
      <c r="K200" s="437"/>
      <c r="L200" s="535"/>
      <c r="M200" s="635"/>
      <c r="AH200" s="17">
        <v>0</v>
      </c>
    </row>
    <row r="201" spans="1:34" ht="0.75" hidden="1" customHeight="1">
      <c r="C201" s="549" t="s">
        <v>1156</v>
      </c>
      <c r="D201" s="1263"/>
      <c r="E201" s="1068"/>
      <c r="F201" s="1204"/>
      <c r="G201" s="645"/>
      <c r="H201" s="437"/>
      <c r="I201" s="105"/>
      <c r="J201" s="132"/>
      <c r="K201" s="437"/>
      <c r="L201" s="535"/>
      <c r="M201" s="635"/>
      <c r="AH201" s="17">
        <v>0</v>
      </c>
    </row>
    <row r="202" spans="1:34" ht="18.75" hidden="1" customHeight="1">
      <c r="A202" s="163" t="s">
        <v>271</v>
      </c>
      <c r="B202" s="163" t="s">
        <v>272</v>
      </c>
      <c r="D202" s="1263"/>
      <c r="E202" s="1068"/>
      <c r="F202" s="1204" t="str">
        <f>INDEX(PT_DIFFERENTIATION_VTAR,MATCH(A202,PT_DIFFERENTIATION_VTAR_ID,0))</f>
        <v>Тариф на транспортировку сточных вод</v>
      </c>
      <c r="G202" s="1238" t="str">
        <f>INDEX(PT_DIFFERENTIATION_NTAR,MATCH(B202,PT_DIFFERENTIATION_NTAR_ID,0))</f>
        <v/>
      </c>
      <c r="H202" s="247"/>
      <c r="I202" s="641"/>
      <c r="J202" s="642"/>
      <c r="K202" s="262"/>
      <c r="L202" s="247" t="s">
        <v>307</v>
      </c>
      <c r="M202" s="635"/>
      <c r="AH202" s="17">
        <v>0</v>
      </c>
    </row>
    <row r="203" spans="1:34" ht="18.75" hidden="1" customHeight="1">
      <c r="C203" s="549" t="s">
        <v>1149</v>
      </c>
      <c r="D203" s="1263"/>
      <c r="E203" s="1068"/>
      <c r="F203" s="1204"/>
      <c r="G203" s="1238"/>
      <c r="H203" s="437"/>
      <c r="I203" s="105" t="s">
        <v>1148</v>
      </c>
      <c r="J203" s="132"/>
      <c r="K203" s="437"/>
      <c r="L203" s="535"/>
      <c r="M203" s="635"/>
      <c r="AH203" s="17">
        <v>0</v>
      </c>
    </row>
    <row r="204" spans="1:34" ht="0.75" hidden="1" customHeight="1">
      <c r="C204" s="549" t="s">
        <v>1156</v>
      </c>
      <c r="D204" s="1263"/>
      <c r="E204" s="1068"/>
      <c r="F204" s="1204"/>
      <c r="G204" s="645"/>
      <c r="H204" s="437"/>
      <c r="I204" s="105"/>
      <c r="J204" s="132"/>
      <c r="K204" s="437"/>
      <c r="L204" s="535"/>
      <c r="M204" s="635"/>
      <c r="AH204" s="17">
        <v>0</v>
      </c>
    </row>
    <row r="205" spans="1:34" ht="18.75" hidden="1" customHeight="1">
      <c r="A205" s="163" t="s">
        <v>276</v>
      </c>
      <c r="B205" s="163" t="s">
        <v>277</v>
      </c>
      <c r="D205" s="1263"/>
      <c r="E205" s="1068"/>
      <c r="F205" s="1204" t="str">
        <f>INDEX(PT_DIFFERENTIATION_VTAR,MATCH(A205,PT_DIFFERENTIATION_VTAR_ID,0))</f>
        <v>Тариф на подключение (технологическое присоединение) к централизованной системе водоотведения</v>
      </c>
      <c r="G205" s="1238" t="str">
        <f>INDEX(PT_DIFFERENTIATION_NTAR,MATCH(B205,PT_DIFFERENTIATION_NTAR_ID,0))</f>
        <v/>
      </c>
      <c r="H205" s="247"/>
      <c r="I205" s="641"/>
      <c r="J205" s="642"/>
      <c r="K205" s="262"/>
      <c r="L205" s="247" t="s">
        <v>307</v>
      </c>
      <c r="M205" s="635"/>
      <c r="AH205" s="17">
        <v>0</v>
      </c>
    </row>
    <row r="206" spans="1:34" ht="18.75" hidden="1" customHeight="1">
      <c r="C206" s="549" t="s">
        <v>1149</v>
      </c>
      <c r="D206" s="1263"/>
      <c r="E206" s="1068"/>
      <c r="F206" s="1204"/>
      <c r="G206" s="1238"/>
      <c r="H206" s="437"/>
      <c r="I206" s="105" t="s">
        <v>1148</v>
      </c>
      <c r="J206" s="132"/>
      <c r="K206" s="437"/>
      <c r="L206" s="535"/>
      <c r="M206" s="635"/>
      <c r="AH206" s="17">
        <v>0</v>
      </c>
    </row>
    <row r="207" spans="1:34" ht="1.1499999999999999" customHeight="1">
      <c r="C207" s="549" t="s">
        <v>1156</v>
      </c>
      <c r="D207" s="1263"/>
      <c r="E207" s="1068"/>
      <c r="F207" s="1204"/>
      <c r="G207" s="645"/>
      <c r="H207" s="437"/>
      <c r="I207" s="105"/>
      <c r="J207" s="132"/>
      <c r="K207" s="437"/>
      <c r="L207" s="535"/>
      <c r="M207" s="635"/>
      <c r="AH207" s="17">
        <v>1</v>
      </c>
    </row>
    <row r="208" spans="1:34" ht="27.4" customHeight="1">
      <c r="D208" s="333"/>
      <c r="E208" s="186" t="s">
        <v>112</v>
      </c>
      <c r="F208" s="12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262"/>
      <c r="H208" s="1262"/>
      <c r="I208" s="1262"/>
      <c r="J208" s="1262"/>
      <c r="K208" s="1262"/>
      <c r="L208" s="1262"/>
      <c r="M208" s="527"/>
      <c r="AH208" s="17">
        <v>26</v>
      </c>
    </row>
    <row r="209" spans="1:34" ht="60.75" hidden="1" customHeight="1">
      <c r="A209" s="163" t="s">
        <v>158</v>
      </c>
      <c r="B209" s="163" t="s">
        <v>159</v>
      </c>
      <c r="D209" s="1263"/>
      <c r="E209" s="1068"/>
      <c r="F209" s="12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238" t="str">
        <f>INDEX(PT_DIFFERENTIATION_NTAR,MATCH(B209,PT_DIFFERENTIATION_NTAR_ID,0))</f>
        <v/>
      </c>
      <c r="H209" s="247"/>
      <c r="I209" s="641"/>
      <c r="J209" s="642"/>
      <c r="K209" s="262"/>
      <c r="L209" s="247" t="s">
        <v>307</v>
      </c>
      <c r="M209" s="10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AH209" s="17">
        <v>0</v>
      </c>
    </row>
    <row r="210" spans="1:34" ht="18.75" hidden="1" customHeight="1">
      <c r="C210" s="549" t="s">
        <v>1149</v>
      </c>
      <c r="D210" s="1263"/>
      <c r="E210" s="1068"/>
      <c r="F210" s="1204"/>
      <c r="G210" s="1238"/>
      <c r="H210" s="437"/>
      <c r="I210" s="105" t="s">
        <v>1148</v>
      </c>
      <c r="J210" s="132"/>
      <c r="K210" s="437"/>
      <c r="L210" s="535"/>
      <c r="M210" s="1032"/>
      <c r="AH210" s="17">
        <v>0</v>
      </c>
    </row>
    <row r="211" spans="1:34" ht="0.75" hidden="1" customHeight="1">
      <c r="C211" s="549" t="s">
        <v>1156</v>
      </c>
      <c r="D211" s="1263"/>
      <c r="E211" s="1068"/>
      <c r="F211" s="1204"/>
      <c r="G211" s="645"/>
      <c r="H211" s="437"/>
      <c r="I211" s="105"/>
      <c r="J211" s="132"/>
      <c r="K211" s="437"/>
      <c r="L211" s="535"/>
      <c r="M211" s="1032"/>
      <c r="AH211" s="17">
        <v>0</v>
      </c>
    </row>
    <row r="212" spans="1:34" ht="45" hidden="1" customHeight="1">
      <c r="A212" s="163" t="s">
        <v>163</v>
      </c>
      <c r="B212" s="163" t="s">
        <v>164</v>
      </c>
      <c r="D212" s="1263"/>
      <c r="E212" s="1068"/>
      <c r="F212" s="1204" t="str">
        <f>INDEX(PT_DIFFERENTIATION_VTAR,MATCH(A212,PT_DIFFERENTIATION_VTAR_ID,0))</f>
        <v/>
      </c>
      <c r="G212" s="1238" t="str">
        <f>INDEX(PT_DIFFERENTIATION_NTAR,MATCH(B212,PT_DIFFERENTIATION_NTAR_ID,0))</f>
        <v/>
      </c>
      <c r="H212" s="247"/>
      <c r="I212" s="641"/>
      <c r="J212" s="642"/>
      <c r="K212" s="262"/>
      <c r="L212" s="247" t="s">
        <v>307</v>
      </c>
      <c r="M212" s="1033"/>
      <c r="AH212" s="17">
        <v>0</v>
      </c>
    </row>
    <row r="213" spans="1:34" ht="18.75" hidden="1" customHeight="1">
      <c r="C213" s="549" t="s">
        <v>1149</v>
      </c>
      <c r="D213" s="1263"/>
      <c r="E213" s="1068"/>
      <c r="F213" s="1204"/>
      <c r="G213" s="1238"/>
      <c r="H213" s="437"/>
      <c r="I213" s="105" t="s">
        <v>1148</v>
      </c>
      <c r="J213" s="132"/>
      <c r="K213" s="437"/>
      <c r="L213" s="535"/>
      <c r="M213" s="154"/>
      <c r="AH213" s="17">
        <v>0</v>
      </c>
    </row>
    <row r="214" spans="1:34" ht="0.75" hidden="1" customHeight="1">
      <c r="C214" s="549" t="s">
        <v>1156</v>
      </c>
      <c r="D214" s="1263"/>
      <c r="E214" s="1068"/>
      <c r="F214" s="1204"/>
      <c r="G214" s="645"/>
      <c r="H214" s="437"/>
      <c r="I214" s="105"/>
      <c r="J214" s="132"/>
      <c r="K214" s="437"/>
      <c r="L214" s="535"/>
      <c r="M214" s="635"/>
      <c r="AH214" s="17">
        <v>0</v>
      </c>
    </row>
    <row r="215" spans="1:34" ht="45" hidden="1" customHeight="1">
      <c r="A215" s="163" t="s">
        <v>170</v>
      </c>
      <c r="B215" s="163" t="s">
        <v>171</v>
      </c>
      <c r="D215" s="1263"/>
      <c r="E215" s="1068"/>
      <c r="F215" s="12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238" t="str">
        <f>INDEX(PT_DIFFERENTIATION_NTAR,MATCH(B215,PT_DIFFERENTIATION_NTAR_ID,0))</f>
        <v/>
      </c>
      <c r="H215" s="247"/>
      <c r="I215" s="641"/>
      <c r="J215" s="642"/>
      <c r="K215" s="262"/>
      <c r="L215" s="247" t="s">
        <v>307</v>
      </c>
      <c r="M215" s="635"/>
      <c r="AH215" s="17">
        <v>0</v>
      </c>
    </row>
    <row r="216" spans="1:34" ht="18.75" hidden="1" customHeight="1">
      <c r="C216" s="549" t="s">
        <v>1149</v>
      </c>
      <c r="D216" s="1263"/>
      <c r="E216" s="1068"/>
      <c r="F216" s="1204"/>
      <c r="G216" s="1238"/>
      <c r="H216" s="437"/>
      <c r="I216" s="105" t="s">
        <v>1148</v>
      </c>
      <c r="J216" s="132"/>
      <c r="K216" s="437"/>
      <c r="L216" s="535"/>
      <c r="M216" s="635"/>
      <c r="AH216" s="17">
        <v>0</v>
      </c>
    </row>
    <row r="217" spans="1:34" ht="0.75" hidden="1" customHeight="1">
      <c r="C217" s="549" t="s">
        <v>1156</v>
      </c>
      <c r="D217" s="1263"/>
      <c r="E217" s="1068"/>
      <c r="F217" s="1204"/>
      <c r="G217" s="645"/>
      <c r="H217" s="437"/>
      <c r="I217" s="105"/>
      <c r="J217" s="132"/>
      <c r="K217" s="437"/>
      <c r="L217" s="535"/>
      <c r="M217" s="635"/>
      <c r="AH217" s="17">
        <v>0</v>
      </c>
    </row>
    <row r="218" spans="1:34" ht="45" hidden="1" customHeight="1">
      <c r="A218" s="163" t="s">
        <v>176</v>
      </c>
      <c r="B218" s="163" t="s">
        <v>177</v>
      </c>
      <c r="D218" s="1263"/>
      <c r="E218" s="1068"/>
      <c r="F218" s="12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238" t="str">
        <f>INDEX(PT_DIFFERENTIATION_NTAR,MATCH(B218,PT_DIFFERENTIATION_NTAR_ID,0))</f>
        <v/>
      </c>
      <c r="H218" s="247"/>
      <c r="I218" s="641"/>
      <c r="J218" s="642"/>
      <c r="K218" s="262"/>
      <c r="L218" s="247" t="s">
        <v>307</v>
      </c>
      <c r="M218" s="635"/>
      <c r="AH218" s="17">
        <v>0</v>
      </c>
    </row>
    <row r="219" spans="1:34" ht="18.75" hidden="1" customHeight="1">
      <c r="C219" s="549" t="s">
        <v>1149</v>
      </c>
      <c r="D219" s="1263"/>
      <c r="E219" s="1068"/>
      <c r="F219" s="1204"/>
      <c r="G219" s="1238"/>
      <c r="H219" s="437"/>
      <c r="I219" s="105" t="s">
        <v>1148</v>
      </c>
      <c r="J219" s="132"/>
      <c r="K219" s="437"/>
      <c r="L219" s="535"/>
      <c r="M219" s="635"/>
      <c r="AH219" s="17">
        <v>0</v>
      </c>
    </row>
    <row r="220" spans="1:34" ht="0.75" hidden="1" customHeight="1">
      <c r="C220" s="549" t="s">
        <v>1156</v>
      </c>
      <c r="D220" s="1263"/>
      <c r="E220" s="1068"/>
      <c r="F220" s="1204"/>
      <c r="G220" s="645"/>
      <c r="H220" s="437"/>
      <c r="I220" s="105"/>
      <c r="J220" s="132"/>
      <c r="K220" s="437"/>
      <c r="L220" s="535"/>
      <c r="M220" s="635"/>
      <c r="AH220" s="17">
        <v>0</v>
      </c>
    </row>
    <row r="221" spans="1:34" ht="18.75" hidden="1" customHeight="1">
      <c r="A221" s="163" t="s">
        <v>182</v>
      </c>
      <c r="B221" s="163" t="s">
        <v>183</v>
      </c>
      <c r="D221" s="1263"/>
      <c r="E221" s="1068"/>
      <c r="F221" s="1204" t="str">
        <f>INDEX(PT_DIFFERENTIATION_VTAR,MATCH(A221,PT_DIFFERENTIATION_VTAR_ID,0))</f>
        <v>Тарифы на услуги по передаче тепловой энергии</v>
      </c>
      <c r="G221" s="1238" t="str">
        <f>INDEX(PT_DIFFERENTIATION_NTAR,MATCH(B221,PT_DIFFERENTIATION_NTAR_ID,0))</f>
        <v/>
      </c>
      <c r="H221" s="247"/>
      <c r="I221" s="641"/>
      <c r="J221" s="642"/>
      <c r="K221" s="262"/>
      <c r="L221" s="247" t="s">
        <v>307</v>
      </c>
      <c r="M221" s="635"/>
      <c r="AH221" s="17">
        <v>0</v>
      </c>
    </row>
    <row r="222" spans="1:34" ht="18.75" hidden="1" customHeight="1">
      <c r="C222" s="549" t="s">
        <v>1149</v>
      </c>
      <c r="D222" s="1263"/>
      <c r="E222" s="1068"/>
      <c r="F222" s="1204"/>
      <c r="G222" s="1238"/>
      <c r="H222" s="437"/>
      <c r="I222" s="105" t="s">
        <v>1148</v>
      </c>
      <c r="J222" s="132"/>
      <c r="K222" s="437"/>
      <c r="L222" s="535"/>
      <c r="M222" s="635"/>
      <c r="AH222" s="17">
        <v>0</v>
      </c>
    </row>
    <row r="223" spans="1:34" ht="0.75" hidden="1" customHeight="1">
      <c r="C223" s="549" t="s">
        <v>1156</v>
      </c>
      <c r="D223" s="1263"/>
      <c r="E223" s="1068"/>
      <c r="F223" s="1204"/>
      <c r="G223" s="645"/>
      <c r="H223" s="437"/>
      <c r="I223" s="105"/>
      <c r="J223" s="132"/>
      <c r="K223" s="437"/>
      <c r="L223" s="535"/>
      <c r="M223" s="635"/>
      <c r="AH223" s="17">
        <v>0</v>
      </c>
    </row>
    <row r="224" spans="1:34" ht="18.75" hidden="1" customHeight="1">
      <c r="A224" s="163" t="s">
        <v>188</v>
      </c>
      <c r="B224" s="163" t="s">
        <v>189</v>
      </c>
      <c r="D224" s="1263"/>
      <c r="E224" s="1068"/>
      <c r="F224" s="1204" t="str">
        <f>INDEX(PT_DIFFERENTIATION_VTAR,MATCH(A224,PT_DIFFERENTIATION_VTAR_ID,0))</f>
        <v>Тарифы на услуги по передаче теплоносителя</v>
      </c>
      <c r="G224" s="1238" t="str">
        <f>INDEX(PT_DIFFERENTIATION_NTAR,MATCH(B224,PT_DIFFERENTIATION_NTAR_ID,0))</f>
        <v/>
      </c>
      <c r="H224" s="247"/>
      <c r="I224" s="641"/>
      <c r="J224" s="642"/>
      <c r="K224" s="262"/>
      <c r="L224" s="247" t="s">
        <v>307</v>
      </c>
      <c r="M224" s="635"/>
      <c r="AH224" s="17">
        <v>0</v>
      </c>
    </row>
    <row r="225" spans="1:34" ht="18.75" hidden="1" customHeight="1">
      <c r="C225" s="549" t="s">
        <v>1149</v>
      </c>
      <c r="D225" s="1263"/>
      <c r="E225" s="1068"/>
      <c r="F225" s="1204"/>
      <c r="G225" s="1238"/>
      <c r="H225" s="437"/>
      <c r="I225" s="105" t="s">
        <v>1148</v>
      </c>
      <c r="J225" s="132"/>
      <c r="K225" s="437"/>
      <c r="L225" s="535"/>
      <c r="M225" s="635"/>
      <c r="AH225" s="17">
        <v>0</v>
      </c>
    </row>
    <row r="226" spans="1:34" ht="0.75" hidden="1" customHeight="1">
      <c r="C226" s="549" t="s">
        <v>1156</v>
      </c>
      <c r="D226" s="1263"/>
      <c r="E226" s="1068"/>
      <c r="F226" s="1204"/>
      <c r="G226" s="645"/>
      <c r="H226" s="437"/>
      <c r="I226" s="105"/>
      <c r="J226" s="132"/>
      <c r="K226" s="437"/>
      <c r="L226" s="535"/>
      <c r="M226" s="635"/>
      <c r="AH226" s="17">
        <v>0</v>
      </c>
    </row>
    <row r="227" spans="1:34" ht="18.75" hidden="1" customHeight="1">
      <c r="A227" s="163" t="s">
        <v>194</v>
      </c>
      <c r="B227" s="163" t="s">
        <v>195</v>
      </c>
      <c r="D227" s="1263"/>
      <c r="E227" s="1068"/>
      <c r="F227" s="12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238" t="str">
        <f>INDEX(PT_DIFFERENTIATION_NTAR,MATCH(B227,PT_DIFFERENTIATION_NTAR_ID,0))</f>
        <v/>
      </c>
      <c r="H227" s="247"/>
      <c r="I227" s="641"/>
      <c r="J227" s="642"/>
      <c r="K227" s="262"/>
      <c r="L227" s="247" t="s">
        <v>307</v>
      </c>
      <c r="M227" s="635"/>
      <c r="AH227" s="17">
        <v>0</v>
      </c>
    </row>
    <row r="228" spans="1:34" ht="18.75" hidden="1" customHeight="1">
      <c r="C228" s="549" t="s">
        <v>1149</v>
      </c>
      <c r="D228" s="1263"/>
      <c r="E228" s="1068"/>
      <c r="F228" s="1204"/>
      <c r="G228" s="1238"/>
      <c r="H228" s="437"/>
      <c r="I228" s="105" t="s">
        <v>1148</v>
      </c>
      <c r="J228" s="132"/>
      <c r="K228" s="437"/>
      <c r="L228" s="535"/>
      <c r="M228" s="635"/>
      <c r="AH228" s="17">
        <v>0</v>
      </c>
    </row>
    <row r="229" spans="1:34" ht="0.75" hidden="1" customHeight="1">
      <c r="C229" s="549" t="s">
        <v>1156</v>
      </c>
      <c r="D229" s="1263"/>
      <c r="E229" s="1068"/>
      <c r="F229" s="1204"/>
      <c r="G229" s="645"/>
      <c r="H229" s="437"/>
      <c r="I229" s="105"/>
      <c r="J229" s="132"/>
      <c r="K229" s="437"/>
      <c r="L229" s="535"/>
      <c r="M229" s="635"/>
      <c r="AH229" s="17">
        <v>0</v>
      </c>
    </row>
    <row r="230" spans="1:34" ht="18.75" hidden="1" customHeight="1">
      <c r="A230" s="163" t="s">
        <v>200</v>
      </c>
      <c r="B230" s="163" t="s">
        <v>201</v>
      </c>
      <c r="D230" s="1263"/>
      <c r="E230" s="1068"/>
      <c r="F230" s="1204" t="str">
        <f>INDEX(PT_DIFFERENTIATION_VTAR,MATCH(A230,PT_DIFFERENTIATION_VTAR_ID,0))</f>
        <v>Плата за подключение (технологическое присоединение) к системе теплоснабжения</v>
      </c>
      <c r="G230" s="1238" t="str">
        <f>INDEX(PT_DIFFERENTIATION_NTAR,MATCH(B230,PT_DIFFERENTIATION_NTAR_ID,0))</f>
        <v/>
      </c>
      <c r="H230" s="247"/>
      <c r="I230" s="641"/>
      <c r="J230" s="642"/>
      <c r="K230" s="262"/>
      <c r="L230" s="247" t="s">
        <v>307</v>
      </c>
      <c r="M230" s="635"/>
      <c r="AH230" s="17">
        <v>0</v>
      </c>
    </row>
    <row r="231" spans="1:34" ht="18.75" hidden="1" customHeight="1">
      <c r="C231" s="549" t="s">
        <v>1149</v>
      </c>
      <c r="D231" s="1263"/>
      <c r="E231" s="1068"/>
      <c r="F231" s="1204"/>
      <c r="G231" s="1238"/>
      <c r="H231" s="437"/>
      <c r="I231" s="105" t="s">
        <v>1148</v>
      </c>
      <c r="J231" s="132"/>
      <c r="K231" s="437"/>
      <c r="L231" s="535"/>
      <c r="M231" s="635"/>
      <c r="AH231" s="17">
        <v>0</v>
      </c>
    </row>
    <row r="232" spans="1:34" ht="0.75" hidden="1" customHeight="1">
      <c r="C232" s="549" t="s">
        <v>1156</v>
      </c>
      <c r="D232" s="1263"/>
      <c r="E232" s="1068"/>
      <c r="F232" s="1204"/>
      <c r="G232" s="645"/>
      <c r="H232" s="437"/>
      <c r="I232" s="105"/>
      <c r="J232" s="132"/>
      <c r="K232" s="437"/>
      <c r="L232" s="535"/>
      <c r="M232" s="635"/>
      <c r="AH232" s="17">
        <v>0</v>
      </c>
    </row>
    <row r="233" spans="1:34" ht="18.75" hidden="1" customHeight="1">
      <c r="A233" s="163" t="s">
        <v>206</v>
      </c>
      <c r="B233" s="163" t="s">
        <v>207</v>
      </c>
      <c r="D233" s="1263"/>
      <c r="E233" s="1068"/>
      <c r="F233" s="1204" t="str">
        <f>INDEX(PT_DIFFERENTIATION_VTAR,MATCH(A233,PT_DIFFERENTIATION_VTAR_ID,0))</f>
        <v>Плата за подключение (технологическое присоединение) к системе теплоснабжения (индивидуальная)</v>
      </c>
      <c r="G233" s="1238" t="str">
        <f>INDEX(PT_DIFFERENTIATION_NTAR,MATCH(B233,PT_DIFFERENTIATION_NTAR_ID,0))</f>
        <v/>
      </c>
      <c r="H233" s="247"/>
      <c r="I233" s="641"/>
      <c r="J233" s="642"/>
      <c r="K233" s="262"/>
      <c r="L233" s="247" t="s">
        <v>307</v>
      </c>
      <c r="M233" s="635"/>
      <c r="AH233" s="17">
        <v>0</v>
      </c>
    </row>
    <row r="234" spans="1:34" ht="18.75" hidden="1" customHeight="1">
      <c r="C234" s="549" t="s">
        <v>1149</v>
      </c>
      <c r="D234" s="1263"/>
      <c r="E234" s="1068"/>
      <c r="F234" s="1204"/>
      <c r="G234" s="1238"/>
      <c r="H234" s="437"/>
      <c r="I234" s="105" t="s">
        <v>1148</v>
      </c>
      <c r="J234" s="132"/>
      <c r="K234" s="437"/>
      <c r="L234" s="535"/>
      <c r="M234" s="635"/>
      <c r="AH234" s="17">
        <v>0</v>
      </c>
    </row>
    <row r="235" spans="1:34" ht="0.75" hidden="1" customHeight="1">
      <c r="C235" s="549" t="s">
        <v>1156</v>
      </c>
      <c r="D235" s="1263"/>
      <c r="E235" s="1068"/>
      <c r="F235" s="1204"/>
      <c r="G235" s="645"/>
      <c r="H235" s="437"/>
      <c r="I235" s="105"/>
      <c r="J235" s="132"/>
      <c r="K235" s="437"/>
      <c r="L235" s="535"/>
      <c r="M235" s="635"/>
      <c r="AH235" s="17">
        <v>0</v>
      </c>
    </row>
    <row r="236" spans="1:34" ht="18.75" hidden="1" customHeight="1">
      <c r="A236" s="163" t="s">
        <v>226</v>
      </c>
      <c r="B236" s="163" t="s">
        <v>227</v>
      </c>
      <c r="D236" s="1263"/>
      <c r="E236" s="1068"/>
      <c r="F236" s="1204" t="str">
        <f>INDEX(PT_DIFFERENTIATION_VTAR,MATCH(A236,PT_DIFFERENTIATION_VTAR_ID,0))</f>
        <v>Тариф на питьевую воду (питьевое водоснабжение)</v>
      </c>
      <c r="G236" s="1238" t="str">
        <f>INDEX(PT_DIFFERENTIATION_NTAR,MATCH(B236,PT_DIFFERENTIATION_NTAR_ID,0))</f>
        <v/>
      </c>
      <c r="H236" s="247"/>
      <c r="I236" s="641"/>
      <c r="J236" s="642"/>
      <c r="K236" s="262"/>
      <c r="L236" s="247" t="s">
        <v>307</v>
      </c>
      <c r="M236" s="635"/>
      <c r="AH236" s="17">
        <v>0</v>
      </c>
    </row>
    <row r="237" spans="1:34" ht="18.75" hidden="1" customHeight="1">
      <c r="C237" s="549" t="s">
        <v>1149</v>
      </c>
      <c r="D237" s="1263"/>
      <c r="E237" s="1068"/>
      <c r="F237" s="1204"/>
      <c r="G237" s="1238"/>
      <c r="H237" s="437"/>
      <c r="I237" s="105" t="s">
        <v>1148</v>
      </c>
      <c r="J237" s="132"/>
      <c r="K237" s="437"/>
      <c r="L237" s="535"/>
      <c r="M237" s="635"/>
      <c r="AH237" s="17">
        <v>0</v>
      </c>
    </row>
    <row r="238" spans="1:34" ht="0.75" hidden="1" customHeight="1">
      <c r="C238" s="549" t="s">
        <v>1156</v>
      </c>
      <c r="D238" s="1263"/>
      <c r="E238" s="1068"/>
      <c r="F238" s="1204"/>
      <c r="G238" s="645"/>
      <c r="H238" s="437"/>
      <c r="I238" s="105"/>
      <c r="J238" s="132"/>
      <c r="K238" s="437"/>
      <c r="L238" s="535"/>
      <c r="M238" s="635"/>
      <c r="AH238" s="17">
        <v>0</v>
      </c>
    </row>
    <row r="239" spans="1:34" ht="18.75" hidden="1" customHeight="1">
      <c r="A239" s="163" t="s">
        <v>231</v>
      </c>
      <c r="B239" s="163" t="s">
        <v>232</v>
      </c>
      <c r="D239" s="1263"/>
      <c r="E239" s="1068"/>
      <c r="F239" s="1204" t="str">
        <f>INDEX(PT_DIFFERENTIATION_VTAR,MATCH(A239,PT_DIFFERENTIATION_VTAR_ID,0))</f>
        <v>Тариф на техническую воду</v>
      </c>
      <c r="G239" s="1238" t="str">
        <f>INDEX(PT_DIFFERENTIATION_NTAR,MATCH(B239,PT_DIFFERENTIATION_NTAR_ID,0))</f>
        <v/>
      </c>
      <c r="H239" s="247"/>
      <c r="I239" s="641"/>
      <c r="J239" s="642"/>
      <c r="K239" s="262"/>
      <c r="L239" s="247" t="s">
        <v>307</v>
      </c>
      <c r="M239" s="635"/>
      <c r="AH239" s="17">
        <v>0</v>
      </c>
    </row>
    <row r="240" spans="1:34" ht="18.75" hidden="1" customHeight="1">
      <c r="C240" s="549" t="s">
        <v>1149</v>
      </c>
      <c r="D240" s="1263"/>
      <c r="E240" s="1068"/>
      <c r="F240" s="1204"/>
      <c r="G240" s="1238"/>
      <c r="H240" s="437"/>
      <c r="I240" s="105" t="s">
        <v>1148</v>
      </c>
      <c r="J240" s="132"/>
      <c r="K240" s="437"/>
      <c r="L240" s="535"/>
      <c r="M240" s="635"/>
      <c r="AH240" s="17">
        <v>0</v>
      </c>
    </row>
    <row r="241" spans="1:34" ht="0.75" hidden="1" customHeight="1">
      <c r="C241" s="549" t="s">
        <v>1156</v>
      </c>
      <c r="D241" s="1263"/>
      <c r="E241" s="1068"/>
      <c r="F241" s="1204"/>
      <c r="G241" s="645"/>
      <c r="H241" s="437"/>
      <c r="I241" s="105"/>
      <c r="J241" s="132"/>
      <c r="K241" s="437"/>
      <c r="L241" s="535"/>
      <c r="M241" s="635"/>
      <c r="AH241" s="17">
        <v>0</v>
      </c>
    </row>
    <row r="242" spans="1:34" ht="18.75" hidden="1" customHeight="1">
      <c r="A242" s="163" t="s">
        <v>236</v>
      </c>
      <c r="B242" s="163" t="s">
        <v>237</v>
      </c>
      <c r="D242" s="1263"/>
      <c r="E242" s="1068"/>
      <c r="F242" s="1204" t="str">
        <f>INDEX(PT_DIFFERENTIATION_VTAR,MATCH(A242,PT_DIFFERENTIATION_VTAR_ID,0))</f>
        <v>Тариф на транспортировку воды</v>
      </c>
      <c r="G242" s="1238" t="str">
        <f>INDEX(PT_DIFFERENTIATION_NTAR,MATCH(B242,PT_DIFFERENTIATION_NTAR_ID,0))</f>
        <v/>
      </c>
      <c r="H242" s="247"/>
      <c r="I242" s="641"/>
      <c r="J242" s="642"/>
      <c r="K242" s="262"/>
      <c r="L242" s="247" t="s">
        <v>307</v>
      </c>
      <c r="M242" s="635"/>
      <c r="AH242" s="17">
        <v>0</v>
      </c>
    </row>
    <row r="243" spans="1:34" ht="18.75" hidden="1" customHeight="1">
      <c r="C243" s="549" t="s">
        <v>1149</v>
      </c>
      <c r="D243" s="1263"/>
      <c r="E243" s="1068"/>
      <c r="F243" s="1204"/>
      <c r="G243" s="1238"/>
      <c r="H243" s="437"/>
      <c r="I243" s="105" t="s">
        <v>1148</v>
      </c>
      <c r="J243" s="132"/>
      <c r="K243" s="437"/>
      <c r="L243" s="535"/>
      <c r="M243" s="635"/>
      <c r="AH243" s="17">
        <v>0</v>
      </c>
    </row>
    <row r="244" spans="1:34" ht="0.75" hidden="1" customHeight="1">
      <c r="C244" s="549" t="s">
        <v>1156</v>
      </c>
      <c r="D244" s="1263"/>
      <c r="E244" s="1068"/>
      <c r="F244" s="1204"/>
      <c r="G244" s="645"/>
      <c r="H244" s="437"/>
      <c r="I244" s="105"/>
      <c r="J244" s="132"/>
      <c r="K244" s="437"/>
      <c r="L244" s="535"/>
      <c r="M244" s="635"/>
      <c r="AH244" s="17">
        <v>0</v>
      </c>
    </row>
    <row r="245" spans="1:34" ht="18.75" hidden="1" customHeight="1">
      <c r="A245" s="163" t="s">
        <v>241</v>
      </c>
      <c r="B245" s="163" t="s">
        <v>242</v>
      </c>
      <c r="D245" s="1263"/>
      <c r="E245" s="1068"/>
      <c r="F245" s="1204" t="str">
        <f>INDEX(PT_DIFFERENTIATION_VTAR,MATCH(A245,PT_DIFFERENTIATION_VTAR_ID,0))</f>
        <v>Тариф на подвоз воды</v>
      </c>
      <c r="G245" s="1238" t="str">
        <f>INDEX(PT_DIFFERENTIATION_NTAR,MATCH(B245,PT_DIFFERENTIATION_NTAR_ID,0))</f>
        <v/>
      </c>
      <c r="H245" s="247"/>
      <c r="I245" s="641"/>
      <c r="J245" s="642"/>
      <c r="K245" s="262"/>
      <c r="L245" s="247" t="s">
        <v>307</v>
      </c>
      <c r="M245" s="635"/>
      <c r="AH245" s="17">
        <v>0</v>
      </c>
    </row>
    <row r="246" spans="1:34" ht="18.75" hidden="1" customHeight="1">
      <c r="C246" s="549" t="s">
        <v>1149</v>
      </c>
      <c r="D246" s="1263"/>
      <c r="E246" s="1068"/>
      <c r="F246" s="1204"/>
      <c r="G246" s="1238"/>
      <c r="H246" s="437"/>
      <c r="I246" s="105" t="s">
        <v>1148</v>
      </c>
      <c r="J246" s="132"/>
      <c r="K246" s="437"/>
      <c r="L246" s="535"/>
      <c r="M246" s="635"/>
      <c r="AH246" s="17">
        <v>0</v>
      </c>
    </row>
    <row r="247" spans="1:34" ht="0.75" hidden="1" customHeight="1">
      <c r="C247" s="549" t="s">
        <v>1156</v>
      </c>
      <c r="D247" s="1263"/>
      <c r="E247" s="1068"/>
      <c r="F247" s="1204"/>
      <c r="G247" s="645"/>
      <c r="H247" s="437"/>
      <c r="I247" s="105"/>
      <c r="J247" s="132"/>
      <c r="K247" s="437"/>
      <c r="L247" s="535"/>
      <c r="M247" s="635"/>
      <c r="AH247" s="17">
        <v>0</v>
      </c>
    </row>
    <row r="248" spans="1:34" ht="18.75" hidden="1" customHeight="1">
      <c r="A248" s="163" t="s">
        <v>246</v>
      </c>
      <c r="B248" s="163" t="s">
        <v>247</v>
      </c>
      <c r="D248" s="1263"/>
      <c r="E248" s="1068"/>
      <c r="F248" s="12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238" t="str">
        <f>INDEX(PT_DIFFERENTIATION_NTAR,MATCH(B248,PT_DIFFERENTIATION_NTAR_ID,0))</f>
        <v/>
      </c>
      <c r="H248" s="247"/>
      <c r="I248" s="641"/>
      <c r="J248" s="642"/>
      <c r="K248" s="262"/>
      <c r="L248" s="247" t="s">
        <v>307</v>
      </c>
      <c r="M248" s="635"/>
      <c r="AH248" s="17">
        <v>0</v>
      </c>
    </row>
    <row r="249" spans="1:34" ht="18.75" hidden="1" customHeight="1">
      <c r="C249" s="549" t="s">
        <v>1149</v>
      </c>
      <c r="D249" s="1263"/>
      <c r="E249" s="1068"/>
      <c r="F249" s="1204"/>
      <c r="G249" s="1238"/>
      <c r="H249" s="437"/>
      <c r="I249" s="105" t="s">
        <v>1148</v>
      </c>
      <c r="J249" s="132"/>
      <c r="K249" s="437"/>
      <c r="L249" s="535"/>
      <c r="M249" s="635"/>
      <c r="AH249" s="17">
        <v>0</v>
      </c>
    </row>
    <row r="250" spans="1:34" ht="0.75" hidden="1" customHeight="1">
      <c r="C250" s="549" t="s">
        <v>1156</v>
      </c>
      <c r="D250" s="1263"/>
      <c r="E250" s="1068"/>
      <c r="F250" s="1204"/>
      <c r="G250" s="645"/>
      <c r="H250" s="437"/>
      <c r="I250" s="105"/>
      <c r="J250" s="132"/>
      <c r="K250" s="437"/>
      <c r="L250" s="535"/>
      <c r="M250" s="635"/>
      <c r="AH250" s="17">
        <v>0</v>
      </c>
    </row>
    <row r="251" spans="1:34" ht="18.75" hidden="1" customHeight="1">
      <c r="A251" s="163" t="s">
        <v>251</v>
      </c>
      <c r="B251" s="163" t="s">
        <v>252</v>
      </c>
      <c r="D251" s="1263"/>
      <c r="E251" s="1068"/>
      <c r="F251" s="1204" t="str">
        <f>INDEX(PT_DIFFERENTIATION_VTAR,MATCH(A251,PT_DIFFERENTIATION_VTAR_ID,0))</f>
        <v>Тариф на горячую воду (горячее водоснабжение)</v>
      </c>
      <c r="G251" s="1238" t="str">
        <f>INDEX(PT_DIFFERENTIATION_NTAR,MATCH(B251,PT_DIFFERENTIATION_NTAR_ID,0))</f>
        <v/>
      </c>
      <c r="H251" s="247"/>
      <c r="I251" s="641"/>
      <c r="J251" s="642"/>
      <c r="K251" s="262"/>
      <c r="L251" s="247" t="s">
        <v>307</v>
      </c>
      <c r="M251" s="635"/>
      <c r="AH251" s="17">
        <v>0</v>
      </c>
    </row>
    <row r="252" spans="1:34" ht="18.75" hidden="1" customHeight="1">
      <c r="C252" s="549" t="s">
        <v>1149</v>
      </c>
      <c r="D252" s="1263"/>
      <c r="E252" s="1068"/>
      <c r="F252" s="1204"/>
      <c r="G252" s="1238"/>
      <c r="H252" s="437"/>
      <c r="I252" s="105" t="s">
        <v>1148</v>
      </c>
      <c r="J252" s="132"/>
      <c r="K252" s="437"/>
      <c r="L252" s="535"/>
      <c r="M252" s="635"/>
      <c r="AH252" s="17">
        <v>0</v>
      </c>
    </row>
    <row r="253" spans="1:34" ht="0.75" hidden="1" customHeight="1">
      <c r="C253" s="549" t="s">
        <v>1156</v>
      </c>
      <c r="D253" s="1263"/>
      <c r="E253" s="1068"/>
      <c r="F253" s="1204"/>
      <c r="G253" s="645"/>
      <c r="H253" s="437"/>
      <c r="I253" s="105"/>
      <c r="J253" s="132"/>
      <c r="K253" s="437"/>
      <c r="L253" s="535"/>
      <c r="M253" s="635"/>
      <c r="AH253" s="17">
        <v>0</v>
      </c>
    </row>
    <row r="254" spans="1:34" ht="18.75" hidden="1" customHeight="1">
      <c r="A254" s="163" t="s">
        <v>256</v>
      </c>
      <c r="B254" s="163" t="s">
        <v>257</v>
      </c>
      <c r="D254" s="1263"/>
      <c r="E254" s="1068"/>
      <c r="F254" s="1204" t="str">
        <f>INDEX(PT_DIFFERENTIATION_VTAR,MATCH(A254,PT_DIFFERENTIATION_VTAR_ID,0))</f>
        <v>Тариф на транспортировку горячей воды</v>
      </c>
      <c r="G254" s="1238" t="str">
        <f>INDEX(PT_DIFFERENTIATION_NTAR,MATCH(B254,PT_DIFFERENTIATION_NTAR_ID,0))</f>
        <v/>
      </c>
      <c r="H254" s="247"/>
      <c r="I254" s="641"/>
      <c r="J254" s="642"/>
      <c r="K254" s="262"/>
      <c r="L254" s="247" t="s">
        <v>307</v>
      </c>
      <c r="M254" s="635"/>
      <c r="AH254" s="17">
        <v>0</v>
      </c>
    </row>
    <row r="255" spans="1:34" ht="18.75" hidden="1" customHeight="1">
      <c r="C255" s="549" t="s">
        <v>1149</v>
      </c>
      <c r="D255" s="1263"/>
      <c r="E255" s="1068"/>
      <c r="F255" s="1204"/>
      <c r="G255" s="1238"/>
      <c r="H255" s="437"/>
      <c r="I255" s="105" t="s">
        <v>1148</v>
      </c>
      <c r="J255" s="132"/>
      <c r="K255" s="437"/>
      <c r="L255" s="535"/>
      <c r="M255" s="635"/>
      <c r="AH255" s="17">
        <v>0</v>
      </c>
    </row>
    <row r="256" spans="1:34" ht="0.75" hidden="1" customHeight="1">
      <c r="C256" s="549" t="s">
        <v>1156</v>
      </c>
      <c r="D256" s="1263"/>
      <c r="E256" s="1068"/>
      <c r="F256" s="1204"/>
      <c r="G256" s="645"/>
      <c r="H256" s="437"/>
      <c r="I256" s="105"/>
      <c r="J256" s="132"/>
      <c r="K256" s="437"/>
      <c r="L256" s="535"/>
      <c r="M256" s="635"/>
      <c r="AH256" s="17">
        <v>0</v>
      </c>
    </row>
    <row r="257" spans="1:34" ht="18.75" hidden="1" customHeight="1">
      <c r="A257" s="163" t="s">
        <v>261</v>
      </c>
      <c r="B257" s="163" t="s">
        <v>262</v>
      </c>
      <c r="D257" s="1263"/>
      <c r="E257" s="1068"/>
      <c r="F257" s="12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1238" t="str">
        <f>INDEX(PT_DIFFERENTIATION_NTAR,MATCH(B257,PT_DIFFERENTIATION_NTAR_ID,0))</f>
        <v/>
      </c>
      <c r="H257" s="247"/>
      <c r="I257" s="641"/>
      <c r="J257" s="642"/>
      <c r="K257" s="262"/>
      <c r="L257" s="247" t="s">
        <v>307</v>
      </c>
      <c r="M257" s="635"/>
      <c r="AH257" s="17">
        <v>0</v>
      </c>
    </row>
    <row r="258" spans="1:34" ht="18.75" hidden="1" customHeight="1">
      <c r="C258" s="549" t="s">
        <v>1149</v>
      </c>
      <c r="D258" s="1263"/>
      <c r="E258" s="1068"/>
      <c r="F258" s="1204"/>
      <c r="G258" s="1238"/>
      <c r="H258" s="437"/>
      <c r="I258" s="105" t="s">
        <v>1148</v>
      </c>
      <c r="J258" s="132"/>
      <c r="K258" s="437"/>
      <c r="L258" s="535"/>
      <c r="M258" s="635"/>
      <c r="AH258" s="17">
        <v>0</v>
      </c>
    </row>
    <row r="259" spans="1:34" ht="0.75" hidden="1" customHeight="1">
      <c r="C259" s="549" t="s">
        <v>1156</v>
      </c>
      <c r="D259" s="1263"/>
      <c r="E259" s="1068"/>
      <c r="F259" s="1204"/>
      <c r="G259" s="645"/>
      <c r="H259" s="437"/>
      <c r="I259" s="105"/>
      <c r="J259" s="132"/>
      <c r="K259" s="437"/>
      <c r="L259" s="535"/>
      <c r="M259" s="635"/>
      <c r="AH259" s="17">
        <v>0</v>
      </c>
    </row>
    <row r="260" spans="1:34" ht="18.75" hidden="1" customHeight="1">
      <c r="A260" s="163" t="s">
        <v>266</v>
      </c>
      <c r="B260" s="163" t="s">
        <v>267</v>
      </c>
      <c r="D260" s="1263"/>
      <c r="E260" s="1068"/>
      <c r="F260" s="1204" t="str">
        <f>INDEX(PT_DIFFERENTIATION_VTAR,MATCH(A260,PT_DIFFERENTIATION_VTAR_ID,0))</f>
        <v>Тариф на водоотведение</v>
      </c>
      <c r="G260" s="1238" t="str">
        <f>INDEX(PT_DIFFERENTIATION_NTAR,MATCH(B260,PT_DIFFERENTIATION_NTAR_ID,0))</f>
        <v/>
      </c>
      <c r="H260" s="247"/>
      <c r="I260" s="641"/>
      <c r="J260" s="642"/>
      <c r="K260" s="262"/>
      <c r="L260" s="247" t="s">
        <v>307</v>
      </c>
      <c r="M260" s="635"/>
      <c r="AH260" s="17">
        <v>0</v>
      </c>
    </row>
    <row r="261" spans="1:34" ht="18.75" hidden="1" customHeight="1">
      <c r="C261" s="549" t="s">
        <v>1149</v>
      </c>
      <c r="D261" s="1263"/>
      <c r="E261" s="1068"/>
      <c r="F261" s="1204"/>
      <c r="G261" s="1238"/>
      <c r="H261" s="437"/>
      <c r="I261" s="105" t="s">
        <v>1148</v>
      </c>
      <c r="J261" s="132"/>
      <c r="K261" s="437"/>
      <c r="L261" s="535"/>
      <c r="M261" s="635"/>
      <c r="AH261" s="17">
        <v>0</v>
      </c>
    </row>
    <row r="262" spans="1:34" ht="0.75" hidden="1" customHeight="1">
      <c r="C262" s="549" t="s">
        <v>1156</v>
      </c>
      <c r="D262" s="1263"/>
      <c r="E262" s="1068"/>
      <c r="F262" s="1204"/>
      <c r="G262" s="645"/>
      <c r="H262" s="437"/>
      <c r="I262" s="105"/>
      <c r="J262" s="132"/>
      <c r="K262" s="437"/>
      <c r="L262" s="535"/>
      <c r="M262" s="635"/>
      <c r="AH262" s="17">
        <v>0</v>
      </c>
    </row>
    <row r="263" spans="1:34" ht="18.75" hidden="1" customHeight="1">
      <c r="A263" s="163" t="s">
        <v>271</v>
      </c>
      <c r="B263" s="163" t="s">
        <v>272</v>
      </c>
      <c r="D263" s="1263"/>
      <c r="E263" s="1068"/>
      <c r="F263" s="1204" t="str">
        <f>INDEX(PT_DIFFERENTIATION_VTAR,MATCH(A263,PT_DIFFERENTIATION_VTAR_ID,0))</f>
        <v>Тариф на транспортировку сточных вод</v>
      </c>
      <c r="G263" s="1238" t="str">
        <f>INDEX(PT_DIFFERENTIATION_NTAR,MATCH(B263,PT_DIFFERENTIATION_NTAR_ID,0))</f>
        <v/>
      </c>
      <c r="H263" s="247"/>
      <c r="I263" s="641"/>
      <c r="J263" s="642"/>
      <c r="K263" s="262"/>
      <c r="L263" s="247" t="s">
        <v>307</v>
      </c>
      <c r="M263" s="635"/>
      <c r="AH263" s="17">
        <v>0</v>
      </c>
    </row>
    <row r="264" spans="1:34" ht="18.75" hidden="1" customHeight="1">
      <c r="C264" s="549" t="s">
        <v>1149</v>
      </c>
      <c r="D264" s="1263"/>
      <c r="E264" s="1068"/>
      <c r="F264" s="1204"/>
      <c r="G264" s="1238"/>
      <c r="H264" s="437"/>
      <c r="I264" s="105" t="s">
        <v>1148</v>
      </c>
      <c r="J264" s="132"/>
      <c r="K264" s="437"/>
      <c r="L264" s="535"/>
      <c r="M264" s="635"/>
      <c r="AH264" s="17">
        <v>0</v>
      </c>
    </row>
    <row r="265" spans="1:34" ht="0.75" hidden="1" customHeight="1">
      <c r="C265" s="549" t="s">
        <v>1156</v>
      </c>
      <c r="D265" s="1263"/>
      <c r="E265" s="1068"/>
      <c r="F265" s="1204"/>
      <c r="G265" s="645"/>
      <c r="H265" s="437"/>
      <c r="I265" s="105"/>
      <c r="J265" s="132"/>
      <c r="K265" s="437"/>
      <c r="L265" s="535"/>
      <c r="M265" s="635"/>
      <c r="AH265" s="17">
        <v>0</v>
      </c>
    </row>
    <row r="266" spans="1:34" ht="18.75" hidden="1" customHeight="1">
      <c r="A266" s="163" t="s">
        <v>276</v>
      </c>
      <c r="B266" s="163" t="s">
        <v>277</v>
      </c>
      <c r="D266" s="1263"/>
      <c r="E266" s="1068"/>
      <c r="F266" s="1204" t="str">
        <f>INDEX(PT_DIFFERENTIATION_VTAR,MATCH(A266,PT_DIFFERENTIATION_VTAR_ID,0))</f>
        <v>Тариф на подключение (технологическое присоединение) к централизованной системе водоотведения</v>
      </c>
      <c r="G266" s="1238" t="str">
        <f>INDEX(PT_DIFFERENTIATION_NTAR,MATCH(B266,PT_DIFFERENTIATION_NTAR_ID,0))</f>
        <v/>
      </c>
      <c r="H266" s="247"/>
      <c r="I266" s="641"/>
      <c r="J266" s="642"/>
      <c r="K266" s="262"/>
      <c r="L266" s="247" t="s">
        <v>307</v>
      </c>
      <c r="M266" s="635"/>
      <c r="AH266" s="17">
        <v>0</v>
      </c>
    </row>
    <row r="267" spans="1:34" ht="18.75" hidden="1" customHeight="1">
      <c r="C267" s="549" t="s">
        <v>1149</v>
      </c>
      <c r="D267" s="1263"/>
      <c r="E267" s="1068"/>
      <c r="F267" s="1204"/>
      <c r="G267" s="1238"/>
      <c r="H267" s="437"/>
      <c r="I267" s="105" t="s">
        <v>1148</v>
      </c>
      <c r="J267" s="132"/>
      <c r="K267" s="437"/>
      <c r="L267" s="535"/>
      <c r="M267" s="635"/>
      <c r="AH267" s="17">
        <v>0</v>
      </c>
    </row>
    <row r="268" spans="1:34" ht="1.1499999999999999" customHeight="1">
      <c r="C268" s="549" t="s">
        <v>1156</v>
      </c>
      <c r="D268" s="1263"/>
      <c r="E268" s="1068"/>
      <c r="F268" s="1204"/>
      <c r="G268" s="645"/>
      <c r="H268" s="437"/>
      <c r="I268" s="105"/>
      <c r="J268" s="132"/>
      <c r="K268" s="437"/>
      <c r="L268" s="535"/>
      <c r="M268" s="635"/>
      <c r="AH268" s="17">
        <v>1</v>
      </c>
    </row>
    <row r="269" spans="1:34" ht="27.4" customHeight="1">
      <c r="D269" s="333"/>
      <c r="E269" s="186" t="s">
        <v>92</v>
      </c>
      <c r="F269" s="12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262"/>
      <c r="H269" s="1262"/>
      <c r="I269" s="1262"/>
      <c r="J269" s="1262"/>
      <c r="K269" s="1262"/>
      <c r="L269" s="1262"/>
      <c r="M269" s="527"/>
      <c r="AH269" s="17">
        <v>26</v>
      </c>
    </row>
    <row r="270" spans="1:34" ht="60.75" hidden="1" customHeight="1">
      <c r="A270" s="163" t="s">
        <v>158</v>
      </c>
      <c r="B270" s="163" t="s">
        <v>159</v>
      </c>
      <c r="D270" s="1263"/>
      <c r="E270" s="1068"/>
      <c r="F270" s="12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238" t="str">
        <f>INDEX(PT_DIFFERENTIATION_NTAR,MATCH(B270,PT_DIFFERENTIATION_NTAR_ID,0))</f>
        <v/>
      </c>
      <c r="H270" s="247"/>
      <c r="I270" s="641"/>
      <c r="J270" s="642"/>
      <c r="K270" s="262"/>
      <c r="L270" s="247" t="s">
        <v>307</v>
      </c>
      <c r="M270" s="10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17">
        <v>0</v>
      </c>
    </row>
    <row r="271" spans="1:34" ht="18.75" hidden="1" customHeight="1">
      <c r="C271" s="549" t="s">
        <v>1149</v>
      </c>
      <c r="D271" s="1263"/>
      <c r="E271" s="1068"/>
      <c r="F271" s="1204"/>
      <c r="G271" s="1238"/>
      <c r="H271" s="437"/>
      <c r="I271" s="105" t="s">
        <v>1148</v>
      </c>
      <c r="J271" s="132"/>
      <c r="K271" s="437"/>
      <c r="L271" s="535"/>
      <c r="M271" s="1032"/>
      <c r="AH271" s="17">
        <v>0</v>
      </c>
    </row>
    <row r="272" spans="1:34" ht="0.75" hidden="1" customHeight="1">
      <c r="C272" s="549" t="s">
        <v>1156</v>
      </c>
      <c r="D272" s="1263"/>
      <c r="E272" s="1068"/>
      <c r="F272" s="1204"/>
      <c r="G272" s="645"/>
      <c r="H272" s="437"/>
      <c r="I272" s="105"/>
      <c r="J272" s="132"/>
      <c r="K272" s="437"/>
      <c r="L272" s="535"/>
      <c r="M272" s="1032"/>
      <c r="AH272" s="17">
        <v>0</v>
      </c>
    </row>
    <row r="273" spans="1:34" ht="45" hidden="1" customHeight="1">
      <c r="A273" s="163" t="s">
        <v>163</v>
      </c>
      <c r="B273" s="163" t="s">
        <v>164</v>
      </c>
      <c r="D273" s="1263"/>
      <c r="E273" s="1068"/>
      <c r="F273" s="1204" t="str">
        <f>INDEX(PT_DIFFERENTIATION_VTAR,MATCH(A273,PT_DIFFERENTIATION_VTAR_ID,0))</f>
        <v/>
      </c>
      <c r="G273" s="1238" t="str">
        <f>INDEX(PT_DIFFERENTIATION_NTAR,MATCH(B273,PT_DIFFERENTIATION_NTAR_ID,0))</f>
        <v/>
      </c>
      <c r="H273" s="247"/>
      <c r="I273" s="641"/>
      <c r="J273" s="642"/>
      <c r="K273" s="262"/>
      <c r="L273" s="247" t="s">
        <v>307</v>
      </c>
      <c r="M273" s="1033"/>
      <c r="AH273" s="17">
        <v>0</v>
      </c>
    </row>
    <row r="274" spans="1:34" ht="18.75" hidden="1" customHeight="1">
      <c r="C274" s="549" t="s">
        <v>1149</v>
      </c>
      <c r="D274" s="1263"/>
      <c r="E274" s="1068"/>
      <c r="F274" s="1204"/>
      <c r="G274" s="1238"/>
      <c r="H274" s="437"/>
      <c r="I274" s="105" t="s">
        <v>1148</v>
      </c>
      <c r="J274" s="132"/>
      <c r="K274" s="437"/>
      <c r="L274" s="535"/>
      <c r="M274" s="154"/>
      <c r="AH274" s="17">
        <v>0</v>
      </c>
    </row>
    <row r="275" spans="1:34" ht="0.75" hidden="1" customHeight="1">
      <c r="C275" s="549" t="s">
        <v>1156</v>
      </c>
      <c r="D275" s="1263"/>
      <c r="E275" s="1068"/>
      <c r="F275" s="1204"/>
      <c r="G275" s="645"/>
      <c r="H275" s="437"/>
      <c r="I275" s="105"/>
      <c r="J275" s="132"/>
      <c r="K275" s="437"/>
      <c r="L275" s="535"/>
      <c r="M275" s="635"/>
      <c r="AH275" s="17">
        <v>0</v>
      </c>
    </row>
    <row r="276" spans="1:34" ht="45" hidden="1" customHeight="1">
      <c r="A276" s="163" t="s">
        <v>170</v>
      </c>
      <c r="B276" s="163" t="s">
        <v>171</v>
      </c>
      <c r="D276" s="1263"/>
      <c r="E276" s="1068"/>
      <c r="F276" s="12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238" t="str">
        <f>INDEX(PT_DIFFERENTIATION_NTAR,MATCH(B276,PT_DIFFERENTIATION_NTAR_ID,0))</f>
        <v/>
      </c>
      <c r="H276" s="247"/>
      <c r="I276" s="641"/>
      <c r="J276" s="642"/>
      <c r="K276" s="262"/>
      <c r="L276" s="247" t="s">
        <v>307</v>
      </c>
      <c r="M276" s="635"/>
      <c r="AH276" s="17">
        <v>0</v>
      </c>
    </row>
    <row r="277" spans="1:34" ht="18.75" hidden="1" customHeight="1">
      <c r="C277" s="549" t="s">
        <v>1149</v>
      </c>
      <c r="D277" s="1263"/>
      <c r="E277" s="1068"/>
      <c r="F277" s="1204"/>
      <c r="G277" s="1238"/>
      <c r="H277" s="437"/>
      <c r="I277" s="105" t="s">
        <v>1148</v>
      </c>
      <c r="J277" s="132"/>
      <c r="K277" s="437"/>
      <c r="L277" s="535"/>
      <c r="M277" s="635"/>
      <c r="AH277" s="17">
        <v>0</v>
      </c>
    </row>
    <row r="278" spans="1:34" ht="0.75" hidden="1" customHeight="1">
      <c r="C278" s="549" t="s">
        <v>1156</v>
      </c>
      <c r="D278" s="1263"/>
      <c r="E278" s="1068"/>
      <c r="F278" s="1204"/>
      <c r="G278" s="645"/>
      <c r="H278" s="437"/>
      <c r="I278" s="105"/>
      <c r="J278" s="132"/>
      <c r="K278" s="437"/>
      <c r="L278" s="535"/>
      <c r="M278" s="635"/>
      <c r="AH278" s="17">
        <v>0</v>
      </c>
    </row>
    <row r="279" spans="1:34" ht="45" hidden="1" customHeight="1">
      <c r="A279" s="163" t="s">
        <v>176</v>
      </c>
      <c r="B279" s="163" t="s">
        <v>177</v>
      </c>
      <c r="D279" s="1263"/>
      <c r="E279" s="1068"/>
      <c r="F279" s="12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238" t="str">
        <f>INDEX(PT_DIFFERENTIATION_NTAR,MATCH(B279,PT_DIFFERENTIATION_NTAR_ID,0))</f>
        <v/>
      </c>
      <c r="H279" s="247"/>
      <c r="I279" s="641"/>
      <c r="J279" s="642"/>
      <c r="K279" s="262"/>
      <c r="L279" s="247" t="s">
        <v>307</v>
      </c>
      <c r="M279" s="635"/>
      <c r="AH279" s="17">
        <v>0</v>
      </c>
    </row>
    <row r="280" spans="1:34" ht="18.75" hidden="1" customHeight="1">
      <c r="C280" s="549" t="s">
        <v>1149</v>
      </c>
      <c r="D280" s="1263"/>
      <c r="E280" s="1068"/>
      <c r="F280" s="1204"/>
      <c r="G280" s="1238"/>
      <c r="H280" s="437"/>
      <c r="I280" s="105" t="s">
        <v>1148</v>
      </c>
      <c r="J280" s="132"/>
      <c r="K280" s="437"/>
      <c r="L280" s="535"/>
      <c r="M280" s="635"/>
      <c r="AH280" s="17">
        <v>0</v>
      </c>
    </row>
    <row r="281" spans="1:34" ht="0.75" hidden="1" customHeight="1">
      <c r="C281" s="549" t="s">
        <v>1156</v>
      </c>
      <c r="D281" s="1263"/>
      <c r="E281" s="1068"/>
      <c r="F281" s="1204"/>
      <c r="G281" s="645"/>
      <c r="H281" s="437"/>
      <c r="I281" s="105"/>
      <c r="J281" s="132"/>
      <c r="K281" s="437"/>
      <c r="L281" s="535"/>
      <c r="M281" s="635"/>
      <c r="AH281" s="17">
        <v>0</v>
      </c>
    </row>
    <row r="282" spans="1:34" ht="18.75" hidden="1" customHeight="1">
      <c r="A282" s="163" t="s">
        <v>182</v>
      </c>
      <c r="B282" s="163" t="s">
        <v>183</v>
      </c>
      <c r="D282" s="1263"/>
      <c r="E282" s="1068"/>
      <c r="F282" s="1204" t="str">
        <f>INDEX(PT_DIFFERENTIATION_VTAR,MATCH(A282,PT_DIFFERENTIATION_VTAR_ID,0))</f>
        <v>Тарифы на услуги по передаче тепловой энергии</v>
      </c>
      <c r="G282" s="1238" t="str">
        <f>INDEX(PT_DIFFERENTIATION_NTAR,MATCH(B282,PT_DIFFERENTIATION_NTAR_ID,0))</f>
        <v/>
      </c>
      <c r="H282" s="247"/>
      <c r="I282" s="641"/>
      <c r="J282" s="642"/>
      <c r="K282" s="262"/>
      <c r="L282" s="247" t="s">
        <v>307</v>
      </c>
      <c r="M282" s="635"/>
      <c r="AH282" s="17">
        <v>0</v>
      </c>
    </row>
    <row r="283" spans="1:34" ht="18.75" hidden="1" customHeight="1">
      <c r="C283" s="549" t="s">
        <v>1149</v>
      </c>
      <c r="D283" s="1263"/>
      <c r="E283" s="1068"/>
      <c r="F283" s="1204"/>
      <c r="G283" s="1238"/>
      <c r="H283" s="437"/>
      <c r="I283" s="105" t="s">
        <v>1148</v>
      </c>
      <c r="J283" s="132"/>
      <c r="K283" s="437"/>
      <c r="L283" s="535"/>
      <c r="M283" s="635"/>
      <c r="AH283" s="17">
        <v>0</v>
      </c>
    </row>
    <row r="284" spans="1:34" ht="0.75" hidden="1" customHeight="1">
      <c r="C284" s="549" t="s">
        <v>1156</v>
      </c>
      <c r="D284" s="1263"/>
      <c r="E284" s="1068"/>
      <c r="F284" s="1204"/>
      <c r="G284" s="645"/>
      <c r="H284" s="437"/>
      <c r="I284" s="105"/>
      <c r="J284" s="132"/>
      <c r="K284" s="437"/>
      <c r="L284" s="535"/>
      <c r="M284" s="635"/>
      <c r="AH284" s="17">
        <v>0</v>
      </c>
    </row>
    <row r="285" spans="1:34" ht="18.75" hidden="1" customHeight="1">
      <c r="A285" s="163" t="s">
        <v>188</v>
      </c>
      <c r="B285" s="163" t="s">
        <v>189</v>
      </c>
      <c r="D285" s="1263"/>
      <c r="E285" s="1068"/>
      <c r="F285" s="1204" t="str">
        <f>INDEX(PT_DIFFERENTIATION_VTAR,MATCH(A285,PT_DIFFERENTIATION_VTAR_ID,0))</f>
        <v>Тарифы на услуги по передаче теплоносителя</v>
      </c>
      <c r="G285" s="1238" t="str">
        <f>INDEX(PT_DIFFERENTIATION_NTAR,MATCH(B285,PT_DIFFERENTIATION_NTAR_ID,0))</f>
        <v/>
      </c>
      <c r="H285" s="247"/>
      <c r="I285" s="641"/>
      <c r="J285" s="642"/>
      <c r="K285" s="262"/>
      <c r="L285" s="247" t="s">
        <v>307</v>
      </c>
      <c r="M285" s="635"/>
      <c r="AH285" s="17">
        <v>0</v>
      </c>
    </row>
    <row r="286" spans="1:34" ht="18.75" hidden="1" customHeight="1">
      <c r="C286" s="549" t="s">
        <v>1149</v>
      </c>
      <c r="D286" s="1263"/>
      <c r="E286" s="1068"/>
      <c r="F286" s="1204"/>
      <c r="G286" s="1238"/>
      <c r="H286" s="437"/>
      <c r="I286" s="105" t="s">
        <v>1148</v>
      </c>
      <c r="J286" s="132"/>
      <c r="K286" s="437"/>
      <c r="L286" s="535"/>
      <c r="M286" s="635"/>
      <c r="AH286" s="17">
        <v>0</v>
      </c>
    </row>
    <row r="287" spans="1:34" ht="0.75" hidden="1" customHeight="1">
      <c r="C287" s="549" t="s">
        <v>1156</v>
      </c>
      <c r="D287" s="1263"/>
      <c r="E287" s="1068"/>
      <c r="F287" s="1204"/>
      <c r="G287" s="645"/>
      <c r="H287" s="437"/>
      <c r="I287" s="105"/>
      <c r="J287" s="132"/>
      <c r="K287" s="437"/>
      <c r="L287" s="535"/>
      <c r="M287" s="635"/>
      <c r="AH287" s="17">
        <v>0</v>
      </c>
    </row>
    <row r="288" spans="1:34" ht="18.75" hidden="1" customHeight="1">
      <c r="A288" s="163" t="s">
        <v>194</v>
      </c>
      <c r="B288" s="163" t="s">
        <v>195</v>
      </c>
      <c r="D288" s="1263"/>
      <c r="E288" s="1068"/>
      <c r="F288" s="12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238" t="str">
        <f>INDEX(PT_DIFFERENTIATION_NTAR,MATCH(B288,PT_DIFFERENTIATION_NTAR_ID,0))</f>
        <v/>
      </c>
      <c r="H288" s="247"/>
      <c r="I288" s="641"/>
      <c r="J288" s="642"/>
      <c r="K288" s="262"/>
      <c r="L288" s="247" t="s">
        <v>307</v>
      </c>
      <c r="M288" s="635"/>
      <c r="AH288" s="17">
        <v>0</v>
      </c>
    </row>
    <row r="289" spans="1:34" ht="18.75" hidden="1" customHeight="1">
      <c r="C289" s="549" t="s">
        <v>1149</v>
      </c>
      <c r="D289" s="1263"/>
      <c r="E289" s="1068"/>
      <c r="F289" s="1204"/>
      <c r="G289" s="1238"/>
      <c r="H289" s="437"/>
      <c r="I289" s="105" t="s">
        <v>1148</v>
      </c>
      <c r="J289" s="132"/>
      <c r="K289" s="437"/>
      <c r="L289" s="535"/>
      <c r="M289" s="635"/>
      <c r="AH289" s="17">
        <v>0</v>
      </c>
    </row>
    <row r="290" spans="1:34" ht="0.75" hidden="1" customHeight="1">
      <c r="C290" s="549" t="s">
        <v>1156</v>
      </c>
      <c r="D290" s="1263"/>
      <c r="E290" s="1068"/>
      <c r="F290" s="1204"/>
      <c r="G290" s="645"/>
      <c r="H290" s="437"/>
      <c r="I290" s="105"/>
      <c r="J290" s="132"/>
      <c r="K290" s="437"/>
      <c r="L290" s="535"/>
      <c r="M290" s="635"/>
      <c r="AH290" s="17">
        <v>0</v>
      </c>
    </row>
    <row r="291" spans="1:34" ht="18.75" hidden="1" customHeight="1">
      <c r="A291" s="163" t="s">
        <v>200</v>
      </c>
      <c r="B291" s="163" t="s">
        <v>201</v>
      </c>
      <c r="D291" s="1263"/>
      <c r="E291" s="1068"/>
      <c r="F291" s="1204" t="str">
        <f>INDEX(PT_DIFFERENTIATION_VTAR,MATCH(A291,PT_DIFFERENTIATION_VTAR_ID,0))</f>
        <v>Плата за подключение (технологическое присоединение) к системе теплоснабжения</v>
      </c>
      <c r="G291" s="1238" t="str">
        <f>INDEX(PT_DIFFERENTIATION_NTAR,MATCH(B291,PT_DIFFERENTIATION_NTAR_ID,0))</f>
        <v/>
      </c>
      <c r="H291" s="247"/>
      <c r="I291" s="641"/>
      <c r="J291" s="642"/>
      <c r="K291" s="262"/>
      <c r="L291" s="247" t="s">
        <v>307</v>
      </c>
      <c r="M291" s="635"/>
      <c r="AH291" s="17">
        <v>0</v>
      </c>
    </row>
    <row r="292" spans="1:34" ht="18.75" hidden="1" customHeight="1">
      <c r="C292" s="549" t="s">
        <v>1149</v>
      </c>
      <c r="D292" s="1263"/>
      <c r="E292" s="1068"/>
      <c r="F292" s="1204"/>
      <c r="G292" s="1238"/>
      <c r="H292" s="437"/>
      <c r="I292" s="105" t="s">
        <v>1148</v>
      </c>
      <c r="J292" s="132"/>
      <c r="K292" s="437"/>
      <c r="L292" s="535"/>
      <c r="M292" s="635"/>
      <c r="AH292" s="17">
        <v>0</v>
      </c>
    </row>
    <row r="293" spans="1:34" ht="0.75" hidden="1" customHeight="1">
      <c r="C293" s="549" t="s">
        <v>1156</v>
      </c>
      <c r="D293" s="1263"/>
      <c r="E293" s="1068"/>
      <c r="F293" s="1204"/>
      <c r="G293" s="645"/>
      <c r="H293" s="437"/>
      <c r="I293" s="105"/>
      <c r="J293" s="132"/>
      <c r="K293" s="437"/>
      <c r="L293" s="535"/>
      <c r="M293" s="635"/>
      <c r="AH293" s="17">
        <v>0</v>
      </c>
    </row>
    <row r="294" spans="1:34" ht="18.75" hidden="1" customHeight="1">
      <c r="A294" s="163" t="s">
        <v>206</v>
      </c>
      <c r="B294" s="163" t="s">
        <v>207</v>
      </c>
      <c r="D294" s="1263"/>
      <c r="E294" s="1068"/>
      <c r="F294" s="1204" t="str">
        <f>INDEX(PT_DIFFERENTIATION_VTAR,MATCH(A294,PT_DIFFERENTIATION_VTAR_ID,0))</f>
        <v>Плата за подключение (технологическое присоединение) к системе теплоснабжения (индивидуальная)</v>
      </c>
      <c r="G294" s="1238" t="str">
        <f>INDEX(PT_DIFFERENTIATION_NTAR,MATCH(B294,PT_DIFFERENTIATION_NTAR_ID,0))</f>
        <v/>
      </c>
      <c r="H294" s="247"/>
      <c r="I294" s="641"/>
      <c r="J294" s="642"/>
      <c r="K294" s="262"/>
      <c r="L294" s="247" t="s">
        <v>307</v>
      </c>
      <c r="M294" s="635"/>
      <c r="AH294" s="17">
        <v>0</v>
      </c>
    </row>
    <row r="295" spans="1:34" ht="18.75" hidden="1" customHeight="1">
      <c r="C295" s="549" t="s">
        <v>1149</v>
      </c>
      <c r="D295" s="1263"/>
      <c r="E295" s="1068"/>
      <c r="F295" s="1204"/>
      <c r="G295" s="1238"/>
      <c r="H295" s="437"/>
      <c r="I295" s="105" t="s">
        <v>1148</v>
      </c>
      <c r="J295" s="132"/>
      <c r="K295" s="437"/>
      <c r="L295" s="535"/>
      <c r="M295" s="635"/>
      <c r="AH295" s="17">
        <v>0</v>
      </c>
    </row>
    <row r="296" spans="1:34" ht="0.75" hidden="1" customHeight="1">
      <c r="C296" s="549" t="s">
        <v>1156</v>
      </c>
      <c r="D296" s="1263"/>
      <c r="E296" s="1068"/>
      <c r="F296" s="1204"/>
      <c r="G296" s="645"/>
      <c r="H296" s="437"/>
      <c r="I296" s="105"/>
      <c r="J296" s="132"/>
      <c r="K296" s="437"/>
      <c r="L296" s="535"/>
      <c r="M296" s="635"/>
      <c r="AH296" s="17">
        <v>0</v>
      </c>
    </row>
    <row r="297" spans="1:34" ht="18.75" hidden="1" customHeight="1">
      <c r="A297" s="163" t="s">
        <v>226</v>
      </c>
      <c r="B297" s="163" t="s">
        <v>227</v>
      </c>
      <c r="D297" s="1263"/>
      <c r="E297" s="1068"/>
      <c r="F297" s="1204" t="str">
        <f>INDEX(PT_DIFFERENTIATION_VTAR,MATCH(A297,PT_DIFFERENTIATION_VTAR_ID,0))</f>
        <v>Тариф на питьевую воду (питьевое водоснабжение)</v>
      </c>
      <c r="G297" s="1238" t="str">
        <f>INDEX(PT_DIFFERENTIATION_NTAR,MATCH(B297,PT_DIFFERENTIATION_NTAR_ID,0))</f>
        <v/>
      </c>
      <c r="H297" s="247"/>
      <c r="I297" s="641"/>
      <c r="J297" s="642"/>
      <c r="K297" s="262"/>
      <c r="L297" s="247" t="s">
        <v>307</v>
      </c>
      <c r="M297" s="635"/>
      <c r="AH297" s="17">
        <v>0</v>
      </c>
    </row>
    <row r="298" spans="1:34" ht="18.75" hidden="1" customHeight="1">
      <c r="C298" s="549" t="s">
        <v>1149</v>
      </c>
      <c r="D298" s="1263"/>
      <c r="E298" s="1068"/>
      <c r="F298" s="1204"/>
      <c r="G298" s="1238"/>
      <c r="H298" s="437"/>
      <c r="I298" s="105" t="s">
        <v>1148</v>
      </c>
      <c r="J298" s="132"/>
      <c r="K298" s="437"/>
      <c r="L298" s="535"/>
      <c r="M298" s="635"/>
      <c r="AH298" s="17">
        <v>0</v>
      </c>
    </row>
    <row r="299" spans="1:34" ht="0.75" hidden="1" customHeight="1">
      <c r="C299" s="549" t="s">
        <v>1156</v>
      </c>
      <c r="D299" s="1263"/>
      <c r="E299" s="1068"/>
      <c r="F299" s="1204"/>
      <c r="G299" s="645"/>
      <c r="H299" s="437"/>
      <c r="I299" s="105"/>
      <c r="J299" s="132"/>
      <c r="K299" s="437"/>
      <c r="L299" s="535"/>
      <c r="M299" s="635"/>
      <c r="AH299" s="17">
        <v>0</v>
      </c>
    </row>
    <row r="300" spans="1:34" ht="18.75" hidden="1" customHeight="1">
      <c r="A300" s="163" t="s">
        <v>231</v>
      </c>
      <c r="B300" s="163" t="s">
        <v>232</v>
      </c>
      <c r="D300" s="1263"/>
      <c r="E300" s="1068"/>
      <c r="F300" s="1204" t="str">
        <f>INDEX(PT_DIFFERENTIATION_VTAR,MATCH(A300,PT_DIFFERENTIATION_VTAR_ID,0))</f>
        <v>Тариф на техническую воду</v>
      </c>
      <c r="G300" s="1238" t="str">
        <f>INDEX(PT_DIFFERENTIATION_NTAR,MATCH(B300,PT_DIFFERENTIATION_NTAR_ID,0))</f>
        <v/>
      </c>
      <c r="H300" s="247"/>
      <c r="I300" s="641"/>
      <c r="J300" s="642"/>
      <c r="K300" s="262"/>
      <c r="L300" s="247" t="s">
        <v>307</v>
      </c>
      <c r="M300" s="635"/>
      <c r="AH300" s="17">
        <v>0</v>
      </c>
    </row>
    <row r="301" spans="1:34" ht="18.75" hidden="1" customHeight="1">
      <c r="C301" s="549" t="s">
        <v>1149</v>
      </c>
      <c r="D301" s="1263"/>
      <c r="E301" s="1068"/>
      <c r="F301" s="1204"/>
      <c r="G301" s="1238"/>
      <c r="H301" s="437"/>
      <c r="I301" s="105" t="s">
        <v>1148</v>
      </c>
      <c r="J301" s="132"/>
      <c r="K301" s="437"/>
      <c r="L301" s="535"/>
      <c r="M301" s="635"/>
      <c r="AH301" s="17">
        <v>0</v>
      </c>
    </row>
    <row r="302" spans="1:34" ht="0.75" hidden="1" customHeight="1">
      <c r="C302" s="549" t="s">
        <v>1156</v>
      </c>
      <c r="D302" s="1263"/>
      <c r="E302" s="1068"/>
      <c r="F302" s="1204"/>
      <c r="G302" s="645"/>
      <c r="H302" s="437"/>
      <c r="I302" s="105"/>
      <c r="J302" s="132"/>
      <c r="K302" s="437"/>
      <c r="L302" s="535"/>
      <c r="M302" s="635"/>
      <c r="AH302" s="17">
        <v>0</v>
      </c>
    </row>
    <row r="303" spans="1:34" ht="18.75" hidden="1" customHeight="1">
      <c r="A303" s="163" t="s">
        <v>236</v>
      </c>
      <c r="B303" s="163" t="s">
        <v>237</v>
      </c>
      <c r="D303" s="1263"/>
      <c r="E303" s="1068"/>
      <c r="F303" s="1204" t="str">
        <f>INDEX(PT_DIFFERENTIATION_VTAR,MATCH(A303,PT_DIFFERENTIATION_VTAR_ID,0))</f>
        <v>Тариф на транспортировку воды</v>
      </c>
      <c r="G303" s="1238" t="str">
        <f>INDEX(PT_DIFFERENTIATION_NTAR,MATCH(B303,PT_DIFFERENTIATION_NTAR_ID,0))</f>
        <v/>
      </c>
      <c r="H303" s="247"/>
      <c r="I303" s="641"/>
      <c r="J303" s="642"/>
      <c r="K303" s="262"/>
      <c r="L303" s="247" t="s">
        <v>307</v>
      </c>
      <c r="M303" s="635"/>
      <c r="AH303" s="17">
        <v>0</v>
      </c>
    </row>
    <row r="304" spans="1:34" ht="18.75" hidden="1" customHeight="1">
      <c r="C304" s="549" t="s">
        <v>1149</v>
      </c>
      <c r="D304" s="1263"/>
      <c r="E304" s="1068"/>
      <c r="F304" s="1204"/>
      <c r="G304" s="1238"/>
      <c r="H304" s="437"/>
      <c r="I304" s="105" t="s">
        <v>1148</v>
      </c>
      <c r="J304" s="132"/>
      <c r="K304" s="437"/>
      <c r="L304" s="535"/>
      <c r="M304" s="635"/>
      <c r="AH304" s="17">
        <v>0</v>
      </c>
    </row>
    <row r="305" spans="1:34" ht="0.75" hidden="1" customHeight="1">
      <c r="C305" s="549" t="s">
        <v>1156</v>
      </c>
      <c r="D305" s="1263"/>
      <c r="E305" s="1068"/>
      <c r="F305" s="1204"/>
      <c r="G305" s="645"/>
      <c r="H305" s="437"/>
      <c r="I305" s="105"/>
      <c r="J305" s="132"/>
      <c r="K305" s="437"/>
      <c r="L305" s="535"/>
      <c r="M305" s="635"/>
      <c r="AH305" s="17">
        <v>0</v>
      </c>
    </row>
    <row r="306" spans="1:34" ht="18.75" hidden="1" customHeight="1">
      <c r="A306" s="163" t="s">
        <v>241</v>
      </c>
      <c r="B306" s="163" t="s">
        <v>242</v>
      </c>
      <c r="D306" s="1263"/>
      <c r="E306" s="1068"/>
      <c r="F306" s="1204" t="str">
        <f>INDEX(PT_DIFFERENTIATION_VTAR,MATCH(A306,PT_DIFFERENTIATION_VTAR_ID,0))</f>
        <v>Тариф на подвоз воды</v>
      </c>
      <c r="G306" s="1238" t="str">
        <f>INDEX(PT_DIFFERENTIATION_NTAR,MATCH(B306,PT_DIFFERENTIATION_NTAR_ID,0))</f>
        <v/>
      </c>
      <c r="H306" s="247"/>
      <c r="I306" s="641"/>
      <c r="J306" s="642"/>
      <c r="K306" s="262"/>
      <c r="L306" s="247" t="s">
        <v>307</v>
      </c>
      <c r="M306" s="635"/>
      <c r="AH306" s="17">
        <v>0</v>
      </c>
    </row>
    <row r="307" spans="1:34" ht="18.75" hidden="1" customHeight="1">
      <c r="C307" s="549" t="s">
        <v>1149</v>
      </c>
      <c r="D307" s="1263"/>
      <c r="E307" s="1068"/>
      <c r="F307" s="1204"/>
      <c r="G307" s="1238"/>
      <c r="H307" s="437"/>
      <c r="I307" s="105" t="s">
        <v>1148</v>
      </c>
      <c r="J307" s="132"/>
      <c r="K307" s="437"/>
      <c r="L307" s="535"/>
      <c r="M307" s="635"/>
      <c r="AH307" s="17">
        <v>0</v>
      </c>
    </row>
    <row r="308" spans="1:34" ht="0.75" hidden="1" customHeight="1">
      <c r="C308" s="549" t="s">
        <v>1156</v>
      </c>
      <c r="D308" s="1263"/>
      <c r="E308" s="1068"/>
      <c r="F308" s="1204"/>
      <c r="G308" s="645"/>
      <c r="H308" s="437"/>
      <c r="I308" s="105"/>
      <c r="J308" s="132"/>
      <c r="K308" s="437"/>
      <c r="L308" s="535"/>
      <c r="M308" s="635"/>
      <c r="AH308" s="17">
        <v>0</v>
      </c>
    </row>
    <row r="309" spans="1:34" ht="18.75" hidden="1" customHeight="1">
      <c r="A309" s="163" t="s">
        <v>246</v>
      </c>
      <c r="B309" s="163" t="s">
        <v>247</v>
      </c>
      <c r="D309" s="1263"/>
      <c r="E309" s="1068"/>
      <c r="F309" s="12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238" t="str">
        <f>INDEX(PT_DIFFERENTIATION_NTAR,MATCH(B309,PT_DIFFERENTIATION_NTAR_ID,0))</f>
        <v/>
      </c>
      <c r="H309" s="247"/>
      <c r="I309" s="641"/>
      <c r="J309" s="642"/>
      <c r="K309" s="262"/>
      <c r="L309" s="247" t="s">
        <v>307</v>
      </c>
      <c r="M309" s="635"/>
      <c r="AH309" s="17">
        <v>0</v>
      </c>
    </row>
    <row r="310" spans="1:34" ht="18.75" hidden="1" customHeight="1">
      <c r="C310" s="549" t="s">
        <v>1149</v>
      </c>
      <c r="D310" s="1263"/>
      <c r="E310" s="1068"/>
      <c r="F310" s="1204"/>
      <c r="G310" s="1238"/>
      <c r="H310" s="437"/>
      <c r="I310" s="105" t="s">
        <v>1148</v>
      </c>
      <c r="J310" s="132"/>
      <c r="K310" s="437"/>
      <c r="L310" s="535"/>
      <c r="M310" s="635"/>
      <c r="AH310" s="17">
        <v>0</v>
      </c>
    </row>
    <row r="311" spans="1:34" ht="0.75" hidden="1" customHeight="1">
      <c r="C311" s="549" t="s">
        <v>1156</v>
      </c>
      <c r="D311" s="1263"/>
      <c r="E311" s="1068"/>
      <c r="F311" s="1204"/>
      <c r="G311" s="645"/>
      <c r="H311" s="437"/>
      <c r="I311" s="105"/>
      <c r="J311" s="132"/>
      <c r="K311" s="437"/>
      <c r="L311" s="535"/>
      <c r="M311" s="635"/>
      <c r="AH311" s="17">
        <v>0</v>
      </c>
    </row>
    <row r="312" spans="1:34" ht="18.75" hidden="1" customHeight="1">
      <c r="A312" s="163" t="s">
        <v>251</v>
      </c>
      <c r="B312" s="163" t="s">
        <v>252</v>
      </c>
      <c r="D312" s="1263"/>
      <c r="E312" s="1068"/>
      <c r="F312" s="1204" t="str">
        <f>INDEX(PT_DIFFERENTIATION_VTAR,MATCH(A312,PT_DIFFERENTIATION_VTAR_ID,0))</f>
        <v>Тариф на горячую воду (горячее водоснабжение)</v>
      </c>
      <c r="G312" s="1238" t="str">
        <f>INDEX(PT_DIFFERENTIATION_NTAR,MATCH(B312,PT_DIFFERENTIATION_NTAR_ID,0))</f>
        <v/>
      </c>
      <c r="H312" s="247"/>
      <c r="I312" s="641"/>
      <c r="J312" s="642"/>
      <c r="K312" s="262"/>
      <c r="L312" s="247" t="s">
        <v>307</v>
      </c>
      <c r="M312" s="635"/>
      <c r="AH312" s="17">
        <v>0</v>
      </c>
    </row>
    <row r="313" spans="1:34" ht="18.75" hidden="1" customHeight="1">
      <c r="C313" s="549" t="s">
        <v>1149</v>
      </c>
      <c r="D313" s="1263"/>
      <c r="E313" s="1068"/>
      <c r="F313" s="1204"/>
      <c r="G313" s="1238"/>
      <c r="H313" s="437"/>
      <c r="I313" s="105" t="s">
        <v>1148</v>
      </c>
      <c r="J313" s="132"/>
      <c r="K313" s="437"/>
      <c r="L313" s="535"/>
      <c r="M313" s="635"/>
      <c r="AH313" s="17">
        <v>0</v>
      </c>
    </row>
    <row r="314" spans="1:34" ht="0.75" hidden="1" customHeight="1">
      <c r="C314" s="549" t="s">
        <v>1156</v>
      </c>
      <c r="D314" s="1263"/>
      <c r="E314" s="1068"/>
      <c r="F314" s="1204"/>
      <c r="G314" s="645"/>
      <c r="H314" s="437"/>
      <c r="I314" s="105"/>
      <c r="J314" s="132"/>
      <c r="K314" s="437"/>
      <c r="L314" s="535"/>
      <c r="M314" s="635"/>
      <c r="AH314" s="17">
        <v>0</v>
      </c>
    </row>
    <row r="315" spans="1:34" ht="18.75" hidden="1" customHeight="1">
      <c r="A315" s="163" t="s">
        <v>256</v>
      </c>
      <c r="B315" s="163" t="s">
        <v>257</v>
      </c>
      <c r="D315" s="1263"/>
      <c r="E315" s="1068"/>
      <c r="F315" s="1204" t="str">
        <f>INDEX(PT_DIFFERENTIATION_VTAR,MATCH(A315,PT_DIFFERENTIATION_VTAR_ID,0))</f>
        <v>Тариф на транспортировку горячей воды</v>
      </c>
      <c r="G315" s="1238" t="str">
        <f>INDEX(PT_DIFFERENTIATION_NTAR,MATCH(B315,PT_DIFFERENTIATION_NTAR_ID,0))</f>
        <v/>
      </c>
      <c r="H315" s="247"/>
      <c r="I315" s="641"/>
      <c r="J315" s="642"/>
      <c r="K315" s="262"/>
      <c r="L315" s="247" t="s">
        <v>307</v>
      </c>
      <c r="M315" s="635"/>
      <c r="AH315" s="17">
        <v>0</v>
      </c>
    </row>
    <row r="316" spans="1:34" ht="18.75" hidden="1" customHeight="1">
      <c r="C316" s="549" t="s">
        <v>1149</v>
      </c>
      <c r="D316" s="1263"/>
      <c r="E316" s="1068"/>
      <c r="F316" s="1204"/>
      <c r="G316" s="1238"/>
      <c r="H316" s="437"/>
      <c r="I316" s="105" t="s">
        <v>1148</v>
      </c>
      <c r="J316" s="132"/>
      <c r="K316" s="437"/>
      <c r="L316" s="535"/>
      <c r="M316" s="635"/>
      <c r="AH316" s="17">
        <v>0</v>
      </c>
    </row>
    <row r="317" spans="1:34" ht="0.75" hidden="1" customHeight="1">
      <c r="C317" s="549" t="s">
        <v>1156</v>
      </c>
      <c r="D317" s="1263"/>
      <c r="E317" s="1068"/>
      <c r="F317" s="1204"/>
      <c r="G317" s="645"/>
      <c r="H317" s="437"/>
      <c r="I317" s="105"/>
      <c r="J317" s="132"/>
      <c r="K317" s="437"/>
      <c r="L317" s="535"/>
      <c r="M317" s="635"/>
      <c r="AH317" s="17">
        <v>0</v>
      </c>
    </row>
    <row r="318" spans="1:34" ht="18.75" hidden="1" customHeight="1">
      <c r="A318" s="163" t="s">
        <v>261</v>
      </c>
      <c r="B318" s="163" t="s">
        <v>262</v>
      </c>
      <c r="D318" s="1263"/>
      <c r="E318" s="1068"/>
      <c r="F318" s="12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1238" t="str">
        <f>INDEX(PT_DIFFERENTIATION_NTAR,MATCH(B318,PT_DIFFERENTIATION_NTAR_ID,0))</f>
        <v/>
      </c>
      <c r="H318" s="247"/>
      <c r="I318" s="641"/>
      <c r="J318" s="642"/>
      <c r="K318" s="262"/>
      <c r="L318" s="247" t="s">
        <v>307</v>
      </c>
      <c r="M318" s="635"/>
      <c r="AH318" s="17">
        <v>0</v>
      </c>
    </row>
    <row r="319" spans="1:34" ht="18.75" hidden="1" customHeight="1">
      <c r="C319" s="549" t="s">
        <v>1149</v>
      </c>
      <c r="D319" s="1263"/>
      <c r="E319" s="1068"/>
      <c r="F319" s="1204"/>
      <c r="G319" s="1238"/>
      <c r="H319" s="437"/>
      <c r="I319" s="105" t="s">
        <v>1148</v>
      </c>
      <c r="J319" s="132"/>
      <c r="K319" s="437"/>
      <c r="L319" s="535"/>
      <c r="M319" s="635"/>
      <c r="AH319" s="17">
        <v>0</v>
      </c>
    </row>
    <row r="320" spans="1:34" ht="0.75" hidden="1" customHeight="1">
      <c r="C320" s="549" t="s">
        <v>1156</v>
      </c>
      <c r="D320" s="1263"/>
      <c r="E320" s="1068"/>
      <c r="F320" s="1204"/>
      <c r="G320" s="645"/>
      <c r="H320" s="437"/>
      <c r="I320" s="105"/>
      <c r="J320" s="132"/>
      <c r="K320" s="437"/>
      <c r="L320" s="535"/>
      <c r="M320" s="635"/>
      <c r="AH320" s="17">
        <v>0</v>
      </c>
    </row>
    <row r="321" spans="1:34" ht="18.75" hidden="1" customHeight="1">
      <c r="A321" s="163" t="s">
        <v>266</v>
      </c>
      <c r="B321" s="163" t="s">
        <v>267</v>
      </c>
      <c r="D321" s="1263"/>
      <c r="E321" s="1068"/>
      <c r="F321" s="1204" t="str">
        <f>INDEX(PT_DIFFERENTIATION_VTAR,MATCH(A321,PT_DIFFERENTIATION_VTAR_ID,0))</f>
        <v>Тариф на водоотведение</v>
      </c>
      <c r="G321" s="1238" t="str">
        <f>INDEX(PT_DIFFERENTIATION_NTAR,MATCH(B321,PT_DIFFERENTIATION_NTAR_ID,0))</f>
        <v/>
      </c>
      <c r="H321" s="247"/>
      <c r="I321" s="641"/>
      <c r="J321" s="642"/>
      <c r="K321" s="262"/>
      <c r="L321" s="247" t="s">
        <v>307</v>
      </c>
      <c r="M321" s="635"/>
      <c r="AH321" s="17">
        <v>0</v>
      </c>
    </row>
    <row r="322" spans="1:34" ht="18.75" hidden="1" customHeight="1">
      <c r="C322" s="549" t="s">
        <v>1149</v>
      </c>
      <c r="D322" s="1263"/>
      <c r="E322" s="1068"/>
      <c r="F322" s="1204"/>
      <c r="G322" s="1238"/>
      <c r="H322" s="437"/>
      <c r="I322" s="105" t="s">
        <v>1148</v>
      </c>
      <c r="J322" s="132"/>
      <c r="K322" s="437"/>
      <c r="L322" s="535"/>
      <c r="M322" s="635"/>
      <c r="AH322" s="17">
        <v>0</v>
      </c>
    </row>
    <row r="323" spans="1:34" ht="0.75" hidden="1" customHeight="1">
      <c r="C323" s="549" t="s">
        <v>1156</v>
      </c>
      <c r="D323" s="1263"/>
      <c r="E323" s="1068"/>
      <c r="F323" s="1204"/>
      <c r="G323" s="645"/>
      <c r="H323" s="437"/>
      <c r="I323" s="105"/>
      <c r="J323" s="132"/>
      <c r="K323" s="437"/>
      <c r="L323" s="535"/>
      <c r="M323" s="635"/>
      <c r="AH323" s="17">
        <v>0</v>
      </c>
    </row>
    <row r="324" spans="1:34" ht="18.75" hidden="1" customHeight="1">
      <c r="A324" s="163" t="s">
        <v>271</v>
      </c>
      <c r="B324" s="163" t="s">
        <v>272</v>
      </c>
      <c r="D324" s="1263"/>
      <c r="E324" s="1068"/>
      <c r="F324" s="1204" t="str">
        <f>INDEX(PT_DIFFERENTIATION_VTAR,MATCH(A324,PT_DIFFERENTIATION_VTAR_ID,0))</f>
        <v>Тариф на транспортировку сточных вод</v>
      </c>
      <c r="G324" s="1238" t="str">
        <f>INDEX(PT_DIFFERENTIATION_NTAR,MATCH(B324,PT_DIFFERENTIATION_NTAR_ID,0))</f>
        <v/>
      </c>
      <c r="H324" s="247"/>
      <c r="I324" s="641"/>
      <c r="J324" s="642"/>
      <c r="K324" s="262"/>
      <c r="L324" s="247" t="s">
        <v>307</v>
      </c>
      <c r="M324" s="635"/>
      <c r="AH324" s="17">
        <v>0</v>
      </c>
    </row>
    <row r="325" spans="1:34" ht="18.75" hidden="1" customHeight="1">
      <c r="C325" s="549" t="s">
        <v>1149</v>
      </c>
      <c r="D325" s="1263"/>
      <c r="E325" s="1068"/>
      <c r="F325" s="1204"/>
      <c r="G325" s="1238"/>
      <c r="H325" s="437"/>
      <c r="I325" s="105" t="s">
        <v>1148</v>
      </c>
      <c r="J325" s="132"/>
      <c r="K325" s="437"/>
      <c r="L325" s="535"/>
      <c r="M325" s="635"/>
      <c r="AH325" s="17">
        <v>0</v>
      </c>
    </row>
    <row r="326" spans="1:34" ht="0.75" hidden="1" customHeight="1">
      <c r="C326" s="549" t="s">
        <v>1156</v>
      </c>
      <c r="D326" s="1263"/>
      <c r="E326" s="1068"/>
      <c r="F326" s="1204"/>
      <c r="G326" s="645"/>
      <c r="H326" s="437"/>
      <c r="I326" s="105"/>
      <c r="J326" s="132"/>
      <c r="K326" s="437"/>
      <c r="L326" s="535"/>
      <c r="M326" s="635"/>
      <c r="AH326" s="17">
        <v>0</v>
      </c>
    </row>
    <row r="327" spans="1:34" ht="18.75" hidden="1" customHeight="1">
      <c r="A327" s="163" t="s">
        <v>276</v>
      </c>
      <c r="B327" s="163" t="s">
        <v>277</v>
      </c>
      <c r="D327" s="1263"/>
      <c r="E327" s="1068"/>
      <c r="F327" s="1204" t="str">
        <f>INDEX(PT_DIFFERENTIATION_VTAR,MATCH(A327,PT_DIFFERENTIATION_VTAR_ID,0))</f>
        <v>Тариф на подключение (технологическое присоединение) к централизованной системе водоотведения</v>
      </c>
      <c r="G327" s="1238" t="str">
        <f>INDEX(PT_DIFFERENTIATION_NTAR,MATCH(B327,PT_DIFFERENTIATION_NTAR_ID,0))</f>
        <v/>
      </c>
      <c r="H327" s="247"/>
      <c r="I327" s="641"/>
      <c r="J327" s="642"/>
      <c r="K327" s="262"/>
      <c r="L327" s="247" t="s">
        <v>307</v>
      </c>
      <c r="M327" s="635"/>
      <c r="AH327" s="17">
        <v>0</v>
      </c>
    </row>
    <row r="328" spans="1:34" ht="18.75" hidden="1" customHeight="1">
      <c r="C328" s="549" t="s">
        <v>1149</v>
      </c>
      <c r="D328" s="1263"/>
      <c r="E328" s="1068"/>
      <c r="F328" s="1204"/>
      <c r="G328" s="1238"/>
      <c r="H328" s="437"/>
      <c r="I328" s="105" t="s">
        <v>1148</v>
      </c>
      <c r="J328" s="132"/>
      <c r="K328" s="437"/>
      <c r="L328" s="535"/>
      <c r="M328" s="635"/>
      <c r="AH328" s="17">
        <v>0</v>
      </c>
    </row>
    <row r="329" spans="1:34" ht="1.1499999999999999" customHeight="1">
      <c r="C329" s="549" t="s">
        <v>1156</v>
      </c>
      <c r="D329" s="1263"/>
      <c r="E329" s="1068"/>
      <c r="F329" s="1204"/>
      <c r="G329" s="645"/>
      <c r="H329" s="437"/>
      <c r="I329" s="105"/>
      <c r="J329" s="132"/>
      <c r="K329" s="437"/>
      <c r="L329" s="535"/>
      <c r="M329" s="635"/>
      <c r="AH329" s="17">
        <v>1</v>
      </c>
    </row>
    <row r="330" spans="1:34" ht="3" customHeight="1">
      <c r="E330" s="647"/>
      <c r="F330" s="647"/>
      <c r="G330" s="647"/>
      <c r="H330" s="647"/>
      <c r="I330" s="647"/>
      <c r="J330" s="647"/>
      <c r="K330" s="647"/>
      <c r="L330" s="647"/>
      <c r="M330" s="647"/>
      <c r="AH330" s="163">
        <v>3</v>
      </c>
    </row>
    <row r="331" spans="1:34" ht="26.25" customHeight="1">
      <c r="F331" s="964"/>
      <c r="G331" s="964"/>
      <c r="H331" s="964"/>
      <c r="I331" s="964"/>
      <c r="J331" s="964"/>
      <c r="K331" s="964"/>
      <c r="L331" s="964"/>
      <c r="M331" s="964"/>
      <c r="AH331" s="17">
        <v>25</v>
      </c>
    </row>
    <row r="332" spans="1:34" ht="14.25" hidden="1" customHeight="1">
      <c r="A332" s="648" t="s">
        <v>82</v>
      </c>
      <c r="B332" s="648">
        <v>0</v>
      </c>
      <c r="C332" s="549">
        <v>0</v>
      </c>
      <c r="D332" s="357">
        <v>3</v>
      </c>
      <c r="E332" s="17">
        <v>6</v>
      </c>
      <c r="F332" s="17">
        <v>46</v>
      </c>
      <c r="G332" s="17">
        <v>35</v>
      </c>
      <c r="H332" s="17">
        <v>3</v>
      </c>
      <c r="I332" s="17">
        <v>11</v>
      </c>
      <c r="J332" s="17">
        <v>11</v>
      </c>
      <c r="K332" s="17">
        <v>35</v>
      </c>
      <c r="L332" s="17">
        <v>35</v>
      </c>
      <c r="M332" s="17">
        <v>84</v>
      </c>
      <c r="N332" s="17">
        <v>10</v>
      </c>
      <c r="O332" s="87">
        <v>10</v>
      </c>
      <c r="P332" s="87">
        <v>10</v>
      </c>
      <c r="Q332" s="17">
        <v>10</v>
      </c>
      <c r="R332" s="17">
        <v>10</v>
      </c>
      <c r="S332" s="17">
        <v>10</v>
      </c>
      <c r="T332" s="17">
        <v>10</v>
      </c>
      <c r="U332" s="17">
        <v>10</v>
      </c>
      <c r="V332" s="17">
        <v>10</v>
      </c>
      <c r="W332" s="17">
        <v>10</v>
      </c>
      <c r="X332" s="17">
        <v>10</v>
      </c>
      <c r="Y332" s="17">
        <v>10</v>
      </c>
      <c r="Z332" s="17">
        <v>10</v>
      </c>
      <c r="AA332" s="17">
        <v>10</v>
      </c>
      <c r="AB332" s="17">
        <v>10</v>
      </c>
      <c r="AC332" s="17">
        <v>10</v>
      </c>
      <c r="AD332" s="17">
        <v>10</v>
      </c>
      <c r="AE332" s="17">
        <v>10</v>
      </c>
      <c r="AF332" s="17">
        <v>10</v>
      </c>
      <c r="AG332" s="17">
        <v>10</v>
      </c>
      <c r="AH332" s="1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A03C-C217-1027-5A5B-64AC4D51234B}">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2" width="9.140625" hidden="1" customWidth="1"/>
    <col min="3" max="3" width="3" customWidth="1"/>
    <col min="4" max="4" width="6" customWidth="1"/>
    <col min="5" max="5" width="53" customWidth="1"/>
    <col min="6" max="7" width="35" customWidth="1"/>
    <col min="8" max="8" width="89" customWidth="1"/>
    <col min="9" max="17" width="10" customWidth="1"/>
    <col min="18" max="18" width="10.5703125" hidden="1"/>
  </cols>
  <sheetData>
    <row r="1" spans="3:18" ht="22.5" hidden="1" customHeight="1">
      <c r="R1" s="17" t="s">
        <v>14</v>
      </c>
    </row>
    <row r="2" spans="3:18" ht="18.75" hidden="1" customHeight="1">
      <c r="C2" s="526" t="s">
        <v>690</v>
      </c>
      <c r="D2" s="186"/>
      <c r="E2" s="221"/>
      <c r="F2" s="637"/>
      <c r="G2" s="287"/>
      <c r="R2" s="17">
        <v>0</v>
      </c>
    </row>
    <row r="3" spans="3:18" ht="14.25" hidden="1" customHeight="1">
      <c r="R3" s="17">
        <v>0</v>
      </c>
    </row>
    <row r="4" spans="3:18" ht="6.4" customHeight="1">
      <c r="C4" s="333"/>
      <c r="D4" s="38"/>
      <c r="E4" s="38"/>
      <c r="F4" s="38"/>
      <c r="G4" s="528"/>
      <c r="H4" s="528"/>
      <c r="R4" s="17">
        <v>6</v>
      </c>
    </row>
    <row r="5" spans="3:18" ht="34.5" customHeight="1">
      <c r="C5" s="333"/>
      <c r="D5" s="103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038"/>
      <c r="F5" s="1038"/>
      <c r="G5" s="1039"/>
      <c r="R5" s="17">
        <v>33</v>
      </c>
    </row>
    <row r="6" spans="3:18" ht="18" customHeight="1">
      <c r="C6" s="333"/>
      <c r="D6" s="1087" t="str">
        <f>IF(org=0,"Не определено",org)</f>
        <v>ООО "ТВС"</v>
      </c>
      <c r="E6" s="1088"/>
      <c r="F6" s="1088"/>
      <c r="G6" s="1089"/>
      <c r="R6" s="17">
        <v>17</v>
      </c>
    </row>
    <row r="7" spans="3:18" ht="14.65" customHeight="1">
      <c r="C7" s="333"/>
      <c r="D7" s="38"/>
      <c r="E7" s="31"/>
      <c r="F7" s="31"/>
      <c r="G7" s="184"/>
      <c r="H7" s="529"/>
      <c r="R7" s="17">
        <v>14</v>
      </c>
    </row>
    <row r="8" spans="3:18" ht="14.65" customHeight="1">
      <c r="C8" s="333"/>
      <c r="D8" s="1073" t="s">
        <v>301</v>
      </c>
      <c r="E8" s="1073"/>
      <c r="F8" s="1073"/>
      <c r="G8" s="1073"/>
      <c r="H8" s="1212" t="s">
        <v>302</v>
      </c>
      <c r="R8" s="17">
        <v>14</v>
      </c>
    </row>
    <row r="9" spans="3:18" ht="24" customHeight="1">
      <c r="C9" s="333"/>
      <c r="D9" s="189" t="s">
        <v>88</v>
      </c>
      <c r="E9" s="134" t="s">
        <v>303</v>
      </c>
      <c r="F9" s="134" t="s">
        <v>304</v>
      </c>
      <c r="G9" s="134" t="s">
        <v>391</v>
      </c>
      <c r="H9" s="1212"/>
      <c r="R9" s="17">
        <v>23</v>
      </c>
    </row>
    <row r="10" spans="3:18" ht="14.65" customHeight="1">
      <c r="C10" s="333"/>
      <c r="D10" s="186" t="s">
        <v>110</v>
      </c>
      <c r="E10" s="53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37"/>
      <c r="G10" s="287"/>
      <c r="H10" s="1031" t="s">
        <v>1157</v>
      </c>
      <c r="R10" s="17">
        <v>14</v>
      </c>
    </row>
    <row r="11" spans="3:18" ht="14.65" customHeight="1">
      <c r="C11" s="333"/>
      <c r="D11" s="186" t="s">
        <v>111</v>
      </c>
      <c r="E11" s="53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37"/>
      <c r="G11" s="287"/>
      <c r="H11" s="1032"/>
      <c r="R11" s="17">
        <v>14</v>
      </c>
    </row>
    <row r="12" spans="3:18" ht="14.65" customHeight="1">
      <c r="C12" s="220"/>
      <c r="D12" s="186" t="s">
        <v>90</v>
      </c>
      <c r="E12" s="533" t="str">
        <f>"Сведения о планировании закупочных процедур"&amp;IF(TEMPLATE_SPHERE="TKO"," &lt;1&gt;","")</f>
        <v>Сведения о планировании закупочных процедур</v>
      </c>
      <c r="F12" s="637"/>
      <c r="G12" s="287"/>
      <c r="H12" s="103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R12" s="17">
        <v>14</v>
      </c>
    </row>
    <row r="13" spans="3:18" ht="14.65" customHeight="1">
      <c r="C13" s="220"/>
      <c r="D13" s="186" t="s">
        <v>91</v>
      </c>
      <c r="E13" s="533" t="str">
        <f>"Сведения о результатах проведения закупочных процедур"&amp;IF(TEMPLATE_SPHERE="TKO"," &lt;1&gt;","")</f>
        <v>Сведения о результатах проведения закупочных процедур</v>
      </c>
      <c r="F13" s="637"/>
      <c r="G13" s="287"/>
      <c r="H13" s="1032"/>
      <c r="R13" s="17">
        <v>14</v>
      </c>
    </row>
    <row r="14" spans="3:18" ht="14.65" customHeight="1">
      <c r="C14" s="333"/>
      <c r="D14" s="534"/>
      <c r="E14" s="105" t="s">
        <v>323</v>
      </c>
      <c r="F14" s="132"/>
      <c r="G14" s="535"/>
      <c r="H14" s="1033"/>
      <c r="R14" s="17">
        <v>14</v>
      </c>
    </row>
    <row r="15" spans="3:18" ht="14.65" customHeight="1">
      <c r="C15" s="333"/>
      <c r="D15" s="494"/>
      <c r="E15" s="536"/>
      <c r="F15" s="537"/>
      <c r="G15" s="538"/>
      <c r="H15" s="649"/>
      <c r="R15" s="17">
        <v>14</v>
      </c>
    </row>
    <row r="16" spans="3:18" ht="14.65" customHeight="1">
      <c r="E16" s="964"/>
      <c r="F16" s="964"/>
      <c r="G16" s="964"/>
      <c r="H16" s="964"/>
      <c r="R16" s="17">
        <v>14</v>
      </c>
    </row>
    <row r="17" spans="1:18" ht="22.5" hidden="1" customHeight="1">
      <c r="A17" s="356" t="s">
        <v>82</v>
      </c>
      <c r="B17" s="37">
        <v>0</v>
      </c>
      <c r="C17" s="357">
        <v>3</v>
      </c>
      <c r="D17" s="17">
        <v>6</v>
      </c>
      <c r="E17" s="17">
        <v>53</v>
      </c>
      <c r="F17" s="17">
        <v>35</v>
      </c>
      <c r="G17" s="17">
        <v>35</v>
      </c>
      <c r="H17" s="17">
        <v>89</v>
      </c>
      <c r="I17" s="17">
        <v>10</v>
      </c>
      <c r="J17" s="87">
        <v>10</v>
      </c>
      <c r="K17" s="87">
        <v>10</v>
      </c>
      <c r="L17" s="17">
        <v>10</v>
      </c>
      <c r="M17" s="17">
        <v>10</v>
      </c>
      <c r="N17" s="17">
        <v>10</v>
      </c>
      <c r="O17" s="17">
        <v>10</v>
      </c>
      <c r="P17" s="17">
        <v>10</v>
      </c>
      <c r="Q17" s="17">
        <v>10</v>
      </c>
      <c r="R17" s="1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944C9-7378-1C3A-516C-F3405C062B65}">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2" width="9.140625" hidden="1" customWidth="1"/>
    <col min="3" max="3" width="4" customWidth="1"/>
    <col min="4" max="4" width="6" customWidth="1"/>
    <col min="5" max="5" width="47" customWidth="1"/>
    <col min="6" max="6" width="9" customWidth="1"/>
    <col min="7" max="7" width="25.7109375" hidden="1" customWidth="1"/>
    <col min="8" max="8" width="34" hidden="1" customWidth="1"/>
    <col min="9" max="9" width="25.7109375" customWidth="1"/>
    <col min="10" max="10" width="33" customWidth="1"/>
    <col min="11" max="11" width="50" customWidth="1"/>
    <col min="12" max="21" width="10" customWidth="1"/>
    <col min="22" max="22" width="10.5703125" hidden="1"/>
  </cols>
  <sheetData>
    <row r="1" spans="4:22" ht="22.5" hidden="1" customHeight="1">
      <c r="G1" s="37">
        <v>4</v>
      </c>
      <c r="I1" s="37">
        <v>4</v>
      </c>
      <c r="V1" s="37" t="s">
        <v>14</v>
      </c>
    </row>
    <row r="2" spans="4:22" ht="15" hidden="1" customHeight="1">
      <c r="V2" s="17">
        <v>0</v>
      </c>
    </row>
    <row r="3" spans="4:22" ht="15" hidden="1" customHeight="1">
      <c r="V3" s="37">
        <v>0</v>
      </c>
    </row>
    <row r="4" spans="4:22" ht="15.75" customHeight="1">
      <c r="V4" s="17">
        <v>15</v>
      </c>
    </row>
    <row r="5" spans="4:22" ht="66" customHeight="1">
      <c r="D5" s="1093" t="s">
        <v>1158</v>
      </c>
      <c r="E5" s="1093"/>
      <c r="F5" s="1093"/>
      <c r="G5" s="1093"/>
      <c r="H5" s="1093"/>
      <c r="I5" s="1093"/>
      <c r="J5" s="1093"/>
      <c r="V5" s="17">
        <v>63</v>
      </c>
    </row>
    <row r="6" spans="4:22" ht="15.75" customHeight="1">
      <c r="D6" s="1066" t="str">
        <f>IF(org=0,"Не определено",org)</f>
        <v>ООО "ТВС"</v>
      </c>
      <c r="E6" s="1066"/>
      <c r="F6" s="1066"/>
      <c r="G6" s="1066"/>
      <c r="H6" s="1066"/>
      <c r="I6" s="1066"/>
      <c r="J6" s="1066"/>
      <c r="V6" s="17">
        <v>15</v>
      </c>
    </row>
    <row r="7" spans="4:22" ht="15.75" customHeight="1">
      <c r="D7" s="184"/>
      <c r="G7" s="37">
        <v>22</v>
      </c>
      <c r="I7" s="37">
        <v>1</v>
      </c>
      <c r="J7" s="184"/>
      <c r="V7" s="17">
        <v>15</v>
      </c>
    </row>
    <row r="8" spans="4:22" ht="1.1499999999999999" customHeight="1">
      <c r="H8" s="184"/>
      <c r="I8" s="37" t="s">
        <v>119</v>
      </c>
      <c r="J8" s="184"/>
      <c r="V8" s="17">
        <v>1</v>
      </c>
    </row>
    <row r="9" spans="4:22" ht="15.75" customHeight="1">
      <c r="D9" s="449"/>
      <c r="E9" s="1197" t="s">
        <v>106</v>
      </c>
      <c r="F9" s="1198"/>
      <c r="G9" s="1220" t="str">
        <f>IF(G8="","",INDEX(DIFFERENTIATION_UNMERGE_VD,MATCH(G8,DIFFERENTIATION_ID_DIFF,0)))</f>
        <v/>
      </c>
      <c r="H9" s="1221"/>
      <c r="I9" s="1220" t="str">
        <f>IF(I8="","",INDEX(DIFFERENTIATION_UNMERGE_VD,MATCH(I8,DIFFERENTIATION_ID_DIFF,0)))</f>
        <v>Подключение (технологическое присоединение) к системе теплоснабжения</v>
      </c>
      <c r="J9" s="1221"/>
      <c r="K9" s="1046" t="s">
        <v>302</v>
      </c>
      <c r="V9" s="17">
        <v>15</v>
      </c>
    </row>
    <row r="10" spans="4:22" ht="15.75" customHeight="1">
      <c r="D10" s="449"/>
      <c r="E10" s="1197" t="s">
        <v>565</v>
      </c>
      <c r="F10" s="1198"/>
      <c r="G10" s="1220" t="str">
        <f>IF(G8="","",INDEX(DIFFERENTIATION_UNMERGE_AREA,MATCH(G8,DIFFERENTIATION_ID_DIFF,0)))</f>
        <v/>
      </c>
      <c r="H10" s="1221"/>
      <c r="I10" s="1220" t="str">
        <f>IF(I8="","",INDEX(DIFFERENTIATION_UNMERGE_AREA,MATCH(I8,DIFFERENTIATION_ID_DIFF,0)))</f>
        <v>Территория 1</v>
      </c>
      <c r="J10" s="1221"/>
      <c r="K10" s="1051"/>
      <c r="V10" s="17">
        <v>15</v>
      </c>
    </row>
    <row r="11" spans="4:22" ht="15.75" customHeight="1">
      <c r="D11" s="449"/>
      <c r="E11" s="1197" t="s">
        <v>566</v>
      </c>
      <c r="F11" s="1198"/>
      <c r="G11" s="1220" t="str">
        <f>IF(G8="","",INDEX(DIFFERENTIATION_UNMERGE_SYSTEM,MATCH(G8,DIFFERENTIATION_ID_DIFF,0)))</f>
        <v/>
      </c>
      <c r="H11" s="1221"/>
      <c r="I11" s="1220" t="str">
        <f>IF(I8="","",INDEX(DIFFERENTIATION_UNMERGE_SYSTEM,MATCH(I8,DIFFERENTIATION_ID_DIFF,0)))</f>
        <v>в зоне поставки котельной, расположенной по адресу: г. Москва, поселение Московский, Передельцевский проезд, стр.2</v>
      </c>
      <c r="J11" s="1221"/>
      <c r="K11" s="1051"/>
      <c r="V11" s="17">
        <v>15</v>
      </c>
    </row>
    <row r="12" spans="4:22" ht="15.75" customHeight="1">
      <c r="D12" s="1199" t="s">
        <v>301</v>
      </c>
      <c r="E12" s="1200"/>
      <c r="F12" s="1200"/>
      <c r="G12" s="450"/>
      <c r="H12" s="450"/>
      <c r="I12" s="450"/>
      <c r="J12" s="450"/>
      <c r="K12" s="1051"/>
      <c r="V12" s="17">
        <v>15</v>
      </c>
    </row>
    <row r="13" spans="4:22" ht="35.65" customHeight="1">
      <c r="D13" s="88" t="s">
        <v>88</v>
      </c>
      <c r="E13" s="88" t="s">
        <v>303</v>
      </c>
      <c r="F13" s="88" t="s">
        <v>567</v>
      </c>
      <c r="G13" s="22" t="s">
        <v>304</v>
      </c>
      <c r="H13" s="88" t="s">
        <v>391</v>
      </c>
      <c r="I13" s="22" t="s">
        <v>304</v>
      </c>
      <c r="J13" s="88" t="s">
        <v>391</v>
      </c>
      <c r="K13" s="1098"/>
      <c r="V13" s="17">
        <v>34</v>
      </c>
    </row>
    <row r="14" spans="4:22" ht="15" hidden="1" customHeight="1">
      <c r="D14" s="625" t="s">
        <v>110</v>
      </c>
      <c r="E14" s="625" t="s">
        <v>111</v>
      </c>
      <c r="F14" s="625" t="s">
        <v>90</v>
      </c>
      <c r="G14" s="588" t="str">
        <f>G1&amp;".1"</f>
        <v>4.1</v>
      </c>
      <c r="I14" s="588" t="str">
        <f>I1&amp;".1"</f>
        <v>4.1</v>
      </c>
      <c r="K14" s="296"/>
      <c r="V14" s="17">
        <v>0</v>
      </c>
    </row>
    <row r="15" spans="4:22" ht="22.5" hidden="1" customHeight="1">
      <c r="D15" s="88">
        <v>1</v>
      </c>
      <c r="E15" s="165" t="s">
        <v>810</v>
      </c>
      <c r="F15" s="88" t="s">
        <v>811</v>
      </c>
      <c r="G15" s="650"/>
      <c r="H15" s="650"/>
      <c r="I15" s="650"/>
      <c r="J15" s="650"/>
      <c r="K15" s="296" t="s">
        <v>812</v>
      </c>
      <c r="V15" s="17">
        <v>0</v>
      </c>
    </row>
    <row r="16" spans="4:22" ht="22.5" hidden="1" customHeight="1">
      <c r="D16" s="88">
        <v>2</v>
      </c>
      <c r="E16" s="165" t="s">
        <v>813</v>
      </c>
      <c r="F16" s="88" t="s">
        <v>814</v>
      </c>
      <c r="G16" s="650"/>
      <c r="H16" s="650"/>
      <c r="I16" s="650"/>
      <c r="J16" s="650"/>
      <c r="K16" s="296" t="s">
        <v>815</v>
      </c>
      <c r="V16" s="17">
        <v>0</v>
      </c>
    </row>
    <row r="17" spans="1:22" ht="123.75" hidden="1" customHeight="1">
      <c r="D17" s="88">
        <v>3</v>
      </c>
      <c r="E17" s="165" t="s">
        <v>1159</v>
      </c>
      <c r="F17" s="88" t="s">
        <v>307</v>
      </c>
      <c r="G17" s="650"/>
      <c r="H17" s="650"/>
      <c r="I17" s="650"/>
      <c r="J17" s="650"/>
      <c r="K17" s="296" t="s">
        <v>1160</v>
      </c>
      <c r="V17" s="17">
        <v>0</v>
      </c>
    </row>
    <row r="18" spans="1:22" ht="48.2" customHeight="1">
      <c r="D18" s="88">
        <v>3</v>
      </c>
      <c r="E18" s="165" t="s">
        <v>816</v>
      </c>
      <c r="F18" s="88" t="s">
        <v>307</v>
      </c>
      <c r="G18" s="88" t="s">
        <v>307</v>
      </c>
      <c r="H18" s="161" t="s">
        <v>307</v>
      </c>
      <c r="I18" s="88" t="s">
        <v>307</v>
      </c>
      <c r="J18" s="161" t="s">
        <v>307</v>
      </c>
      <c r="K18" s="296" t="s">
        <v>1161</v>
      </c>
      <c r="V18" s="17">
        <v>46</v>
      </c>
    </row>
    <row r="19" spans="1:22" ht="35.65" customHeight="1">
      <c r="D19" s="121" t="s">
        <v>325</v>
      </c>
      <c r="E19" s="421" t="s">
        <v>818</v>
      </c>
      <c r="F19" s="88" t="s">
        <v>819</v>
      </c>
      <c r="G19" s="547"/>
      <c r="H19" s="225"/>
      <c r="I19" s="547"/>
      <c r="J19" s="477"/>
      <c r="K19" s="586"/>
      <c r="V19" s="17">
        <v>34</v>
      </c>
    </row>
    <row r="20" spans="1:22" ht="35.65" customHeight="1">
      <c r="D20" s="121" t="s">
        <v>333</v>
      </c>
      <c r="E20" s="421" t="s">
        <v>820</v>
      </c>
      <c r="F20" s="88" t="s">
        <v>821</v>
      </c>
      <c r="G20" s="547"/>
      <c r="H20" s="225"/>
      <c r="I20" s="547"/>
      <c r="J20" s="225"/>
      <c r="K20" s="586"/>
      <c r="V20" s="17">
        <v>34</v>
      </c>
    </row>
    <row r="21" spans="1:22" ht="48.2" customHeight="1">
      <c r="D21" s="121" t="s">
        <v>335</v>
      </c>
      <c r="E21" s="421" t="s">
        <v>822</v>
      </c>
      <c r="F21" s="88" t="s">
        <v>572</v>
      </c>
      <c r="G21" s="548"/>
      <c r="H21" s="225"/>
      <c r="I21" s="548"/>
      <c r="J21" s="225"/>
      <c r="K21" s="586"/>
      <c r="V21" s="17">
        <v>46</v>
      </c>
    </row>
    <row r="22" spans="1:22" ht="67.5" hidden="1" customHeight="1">
      <c r="D22" s="88">
        <v>5</v>
      </c>
      <c r="E22" s="165" t="s">
        <v>1162</v>
      </c>
      <c r="F22" s="88" t="s">
        <v>559</v>
      </c>
      <c r="G22" s="651"/>
      <c r="H22" s="428"/>
      <c r="I22" s="651"/>
      <c r="J22" s="428"/>
      <c r="K22" s="296" t="s">
        <v>1163</v>
      </c>
      <c r="V22" s="17">
        <v>0</v>
      </c>
    </row>
    <row r="23" spans="1:22" ht="33.75" hidden="1" customHeight="1">
      <c r="D23" s="88">
        <v>6</v>
      </c>
      <c r="E23" s="165" t="s">
        <v>1164</v>
      </c>
      <c r="F23" s="88" t="s">
        <v>1165</v>
      </c>
      <c r="G23" s="651"/>
      <c r="H23" s="651"/>
      <c r="I23" s="651"/>
      <c r="J23" s="651"/>
      <c r="K23" s="296" t="s">
        <v>1166</v>
      </c>
      <c r="V23" s="17">
        <v>0</v>
      </c>
    </row>
    <row r="24" spans="1:22" ht="15.75" customHeight="1">
      <c r="V24" s="17">
        <v>15</v>
      </c>
    </row>
    <row r="25" spans="1:22" ht="15.75" customHeight="1">
      <c r="V25" s="17">
        <v>15</v>
      </c>
    </row>
    <row r="26" spans="1:22" ht="15.75" customHeight="1">
      <c r="V26" s="17">
        <v>15</v>
      </c>
    </row>
    <row r="27" spans="1:22" ht="15.75" customHeight="1">
      <c r="V27" s="17">
        <v>15</v>
      </c>
    </row>
    <row r="28" spans="1:22" ht="15.75" customHeight="1">
      <c r="V28" s="17">
        <v>15</v>
      </c>
    </row>
    <row r="29" spans="1:22" ht="15.75" customHeight="1">
      <c r="V29" s="17">
        <v>15</v>
      </c>
    </row>
    <row r="30" spans="1:22" ht="22.5" hidden="1" customHeight="1">
      <c r="A30" s="15" t="s">
        <v>82</v>
      </c>
      <c r="B30" s="17">
        <v>0</v>
      </c>
      <c r="C30" s="588">
        <v>4</v>
      </c>
      <c r="D30" s="17">
        <v>6</v>
      </c>
      <c r="E30" s="17">
        <v>47</v>
      </c>
      <c r="F30" s="17">
        <v>9</v>
      </c>
      <c r="G30" s="17">
        <v>0</v>
      </c>
      <c r="H30" s="17">
        <v>0</v>
      </c>
      <c r="I30" s="17">
        <v>25</v>
      </c>
      <c r="J30" s="17">
        <v>33</v>
      </c>
      <c r="K30" s="37">
        <v>50</v>
      </c>
      <c r="L30" s="17">
        <v>10</v>
      </c>
      <c r="M30" s="17">
        <v>10</v>
      </c>
      <c r="N30" s="17">
        <v>10</v>
      </c>
      <c r="O30" s="17">
        <v>10</v>
      </c>
      <c r="P30" s="17">
        <v>10</v>
      </c>
      <c r="Q30" s="17">
        <v>10</v>
      </c>
      <c r="R30" s="17">
        <v>10</v>
      </c>
      <c r="S30" s="17">
        <v>10</v>
      </c>
      <c r="T30" s="17">
        <v>10</v>
      </c>
      <c r="U30" s="589">
        <v>10</v>
      </c>
      <c r="V30" s="17">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28B45-772C-811F-34A8-FF66DA32485B}">
  <sheetPr>
    <tabColor rgb="FFFFCC99"/>
  </sheetPr>
  <dimension ref="A1:CD118"/>
  <sheetViews>
    <sheetView showGridLines="0" workbookViewId="0"/>
  </sheetViews>
  <sheetFormatPr defaultColWidth="9.140625" defaultRowHeight="11.25" customHeight="1"/>
  <cols>
    <col min="1" max="1" width="32.5703125" customWidth="1"/>
    <col min="2" max="2" width="11" customWidth="1"/>
    <col min="4" max="4" width="26.5703125" customWidth="1"/>
    <col min="5" max="5" width="36.85546875" customWidth="1"/>
    <col min="6" max="6" width="23.5703125" customWidth="1"/>
    <col min="7" max="7" width="31.42578125" customWidth="1"/>
    <col min="8" max="8" width="40.85546875" customWidth="1"/>
    <col min="9" max="9" width="14.5703125" customWidth="1"/>
    <col min="10" max="10" width="26.85546875" customWidth="1"/>
    <col min="11" max="11" width="50" customWidth="1"/>
    <col min="12" max="12" width="52.42578125" customWidth="1"/>
    <col min="13" max="13" width="10.7109375" customWidth="1"/>
    <col min="14" max="14" width="55.140625" customWidth="1"/>
    <col min="15" max="15" width="31.85546875" customWidth="1"/>
    <col min="16" max="16" width="23.85546875" customWidth="1"/>
    <col min="17" max="17" width="46.5703125" customWidth="1"/>
    <col min="18" max="18" width="24" customWidth="1"/>
    <col min="19" max="19" width="20.5703125" customWidth="1"/>
    <col min="20" max="20" width="22" customWidth="1"/>
    <col min="21" max="22" width="26.42578125" customWidth="1"/>
    <col min="23" max="23" width="8.28515625" hidden="1" customWidth="1"/>
    <col min="24" max="24" width="59.7109375" customWidth="1"/>
    <col min="25" max="25" width="49.140625" customWidth="1"/>
    <col min="26" max="26" width="11.140625" customWidth="1"/>
    <col min="27" max="30" width="29" customWidth="1"/>
    <col min="32" max="32" width="34.7109375" customWidth="1"/>
    <col min="34" max="35" width="34.42578125" customWidth="1"/>
    <col min="37" max="37" width="24.5703125" customWidth="1"/>
    <col min="39" max="39" width="26.140625" customWidth="1"/>
    <col min="40" max="40" width="1.7109375" customWidth="1"/>
    <col min="42" max="43" width="47.85546875" customWidth="1"/>
    <col min="44" max="44" width="1.7109375" customWidth="1"/>
    <col min="45" max="45" width="21.42578125" customWidth="1"/>
    <col min="46" max="46" width="1.7109375" customWidth="1"/>
    <col min="47" max="47" width="31.28515625" customWidth="1"/>
    <col min="48" max="48" width="1.7109375" customWidth="1"/>
    <col min="51" max="51" width="3.7109375" customWidth="1"/>
    <col min="52" max="52" width="60.85546875" customWidth="1"/>
    <col min="53" max="53" width="49.28515625" customWidth="1"/>
    <col min="54" max="54" width="35.140625" customWidth="1"/>
    <col min="56" max="56" width="1.7109375" customWidth="1"/>
    <col min="57" max="57" width="12.5703125" customWidth="1"/>
    <col min="58" max="58" width="14.28515625" customWidth="1"/>
    <col min="59" max="59" width="30.7109375" customWidth="1"/>
    <col min="60" max="60" width="40.7109375" customWidth="1"/>
    <col min="61" max="61" width="1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546875" customWidth="1"/>
    <col min="71" max="71" width="1.7109375" customWidth="1"/>
    <col min="72" max="72" width="22.5703125" customWidth="1"/>
    <col min="73" max="73" width="57.85546875" customWidth="1"/>
    <col min="74" max="74" width="1.7109375" customWidth="1"/>
    <col min="75" max="75" width="22.5703125" customWidth="1"/>
    <col min="76" max="76" width="57.85546875" customWidth="1"/>
    <col min="77" max="77" width="1.7109375" customWidth="1"/>
    <col min="78" max="78" width="22.5703125" customWidth="1"/>
    <col min="79" max="79" width="57.85546875" customWidth="1"/>
    <col min="82" max="82" width="49.5703125" customWidth="1"/>
  </cols>
  <sheetData>
    <row r="1" spans="1:79" ht="11.25" customHeight="1">
      <c r="A1" s="652" t="s">
        <v>1167</v>
      </c>
      <c r="B1" s="652" t="s">
        <v>1168</v>
      </c>
      <c r="C1" s="652" t="s">
        <v>1169</v>
      </c>
      <c r="D1" s="652" t="s">
        <v>1170</v>
      </c>
      <c r="E1" s="652" t="s">
        <v>1171</v>
      </c>
      <c r="F1" s="652" t="s">
        <v>1172</v>
      </c>
      <c r="G1" s="652" t="s">
        <v>1173</v>
      </c>
      <c r="H1" s="652" t="s">
        <v>1174</v>
      </c>
      <c r="I1" s="652" t="s">
        <v>1175</v>
      </c>
      <c r="J1" s="652" t="s">
        <v>1176</v>
      </c>
      <c r="K1" s="652" t="s">
        <v>1177</v>
      </c>
      <c r="L1" s="652" t="s">
        <v>1178</v>
      </c>
      <c r="M1" s="652"/>
      <c r="N1" s="652" t="s">
        <v>1179</v>
      </c>
      <c r="O1" s="652" t="s">
        <v>1180</v>
      </c>
      <c r="P1" s="652" t="s">
        <v>1181</v>
      </c>
      <c r="Q1" s="652" t="s">
        <v>1182</v>
      </c>
      <c r="R1" s="652" t="s">
        <v>1183</v>
      </c>
      <c r="S1" s="652" t="s">
        <v>1184</v>
      </c>
      <c r="T1" s="652" t="s">
        <v>1185</v>
      </c>
      <c r="U1" s="652" t="s">
        <v>1186</v>
      </c>
      <c r="V1" s="652"/>
      <c r="W1" s="653" t="s">
        <v>1187</v>
      </c>
      <c r="X1" s="652" t="s">
        <v>1188</v>
      </c>
      <c r="Y1" s="652" t="s">
        <v>1189</v>
      </c>
      <c r="Z1" s="652"/>
      <c r="AA1" s="652" t="s">
        <v>1190</v>
      </c>
      <c r="AB1" s="652"/>
      <c r="AC1" s="652" t="s">
        <v>1191</v>
      </c>
      <c r="AD1" s="652"/>
      <c r="AF1" s="652" t="s">
        <v>1192</v>
      </c>
      <c r="AH1" s="652" t="s">
        <v>1193</v>
      </c>
      <c r="AI1" s="652" t="s">
        <v>1194</v>
      </c>
      <c r="AK1" s="652" t="s">
        <v>1195</v>
      </c>
      <c r="AM1" s="652" t="s">
        <v>1196</v>
      </c>
      <c r="AP1" s="652" t="s">
        <v>1197</v>
      </c>
      <c r="AQ1" s="652" t="s">
        <v>1198</v>
      </c>
      <c r="AS1" s="652" t="s">
        <v>1199</v>
      </c>
      <c r="AU1" s="652" t="s">
        <v>1200</v>
      </c>
      <c r="AW1" s="652" t="s">
        <v>1201</v>
      </c>
      <c r="AX1" s="652" t="s">
        <v>1202</v>
      </c>
      <c r="AZ1" s="654" t="s">
        <v>1203</v>
      </c>
      <c r="BB1" s="652" t="s">
        <v>1204</v>
      </c>
      <c r="BC1" s="652"/>
      <c r="BE1" s="652" t="s">
        <v>1205</v>
      </c>
      <c r="BF1" s="652" t="s">
        <v>1206</v>
      </c>
      <c r="BH1" s="655" t="s">
        <v>809</v>
      </c>
      <c r="BJ1" s="656" t="s">
        <v>1207</v>
      </c>
      <c r="BL1" s="657" t="s">
        <v>908</v>
      </c>
      <c r="BN1" s="658" t="s">
        <v>1208</v>
      </c>
    </row>
    <row r="2" spans="1:79" ht="11.25" customHeight="1">
      <c r="A2" s="163" t="s">
        <v>1209</v>
      </c>
      <c r="B2" s="659">
        <v>2000</v>
      </c>
      <c r="C2" s="659">
        <v>2022</v>
      </c>
      <c r="D2" s="659" t="s">
        <v>66</v>
      </c>
      <c r="E2" s="660" t="s">
        <v>1210</v>
      </c>
      <c r="F2" s="660" t="s">
        <v>1211</v>
      </c>
      <c r="G2" s="660" t="s">
        <v>1212</v>
      </c>
      <c r="H2" s="660" t="s">
        <v>55</v>
      </c>
      <c r="I2" s="660" t="s">
        <v>110</v>
      </c>
      <c r="J2" s="660" t="s">
        <v>1213</v>
      </c>
      <c r="K2" s="661" t="s">
        <v>1214</v>
      </c>
      <c r="L2" s="661"/>
      <c r="M2" s="661">
        <v>1</v>
      </c>
      <c r="N2" s="662" t="s">
        <v>1215</v>
      </c>
      <c r="O2" s="660" t="s">
        <v>1216</v>
      </c>
      <c r="P2" s="663" t="s">
        <v>38</v>
      </c>
      <c r="Q2" s="664" t="s">
        <v>1217</v>
      </c>
      <c r="R2" s="665" t="s">
        <v>1218</v>
      </c>
      <c r="S2" s="665" t="s">
        <v>1219</v>
      </c>
      <c r="T2" s="666" t="s">
        <v>1220</v>
      </c>
      <c r="U2" s="661" t="s">
        <v>1221</v>
      </c>
      <c r="V2" s="667">
        <v>1</v>
      </c>
      <c r="W2" s="668"/>
      <c r="X2" s="668" t="s">
        <v>1222</v>
      </c>
      <c r="Y2" s="659" t="s">
        <v>1223</v>
      </c>
      <c r="Z2" s="669"/>
      <c r="AA2" s="659" t="s">
        <v>1224</v>
      </c>
      <c r="AB2" s="670" t="s">
        <v>1224</v>
      </c>
      <c r="AC2" s="659" t="s">
        <v>1225</v>
      </c>
      <c r="AD2" s="670" t="s">
        <v>1225</v>
      </c>
      <c r="AF2" s="660" t="s">
        <v>1221</v>
      </c>
      <c r="AH2" s="660" t="s">
        <v>1226</v>
      </c>
      <c r="AI2" s="660" t="s">
        <v>1226</v>
      </c>
      <c r="AK2" s="660" t="s">
        <v>1227</v>
      </c>
      <c r="AM2" s="660" t="s">
        <v>1228</v>
      </c>
      <c r="AP2" s="497" t="s">
        <v>1222</v>
      </c>
      <c r="AQ2" s="671" t="s">
        <v>1222</v>
      </c>
      <c r="AS2" s="659" t="s">
        <v>1229</v>
      </c>
      <c r="AU2" s="672" t="s">
        <v>1230</v>
      </c>
      <c r="AW2" s="672" t="s">
        <v>1231</v>
      </c>
      <c r="AX2" s="672" t="s">
        <v>1231</v>
      </c>
      <c r="AZ2" s="672" t="s">
        <v>53</v>
      </c>
      <c r="BB2" s="672" t="s">
        <v>1232</v>
      </c>
      <c r="BC2" s="672" t="s">
        <v>1233</v>
      </c>
      <c r="BE2" s="672">
        <v>2000</v>
      </c>
      <c r="BF2" s="672" t="s">
        <v>1234</v>
      </c>
    </row>
    <row r="3" spans="1:79" ht="11.25" customHeight="1">
      <c r="A3" s="163" t="s">
        <v>1235</v>
      </c>
      <c r="B3" s="659">
        <v>2001</v>
      </c>
      <c r="C3" s="659">
        <v>2023</v>
      </c>
      <c r="D3" s="659" t="s">
        <v>19</v>
      </c>
      <c r="E3" s="660" t="s">
        <v>1236</v>
      </c>
      <c r="F3" s="660" t="s">
        <v>35</v>
      </c>
      <c r="G3" s="660" t="s">
        <v>1237</v>
      </c>
      <c r="H3" s="660" t="s">
        <v>1238</v>
      </c>
      <c r="I3" s="660" t="s">
        <v>111</v>
      </c>
      <c r="J3" s="660" t="s">
        <v>557</v>
      </c>
      <c r="K3" s="661" t="s">
        <v>1239</v>
      </c>
      <c r="L3" s="661">
        <f>IFERROR(MATCH(K3,OFFER_METHOD,0),0)</f>
        <v>0</v>
      </c>
      <c r="M3" s="661">
        <v>2</v>
      </c>
      <c r="N3" s="662" t="s">
        <v>1240</v>
      </c>
      <c r="O3" s="660" t="s">
        <v>1241</v>
      </c>
      <c r="P3" s="663" t="s">
        <v>1242</v>
      </c>
      <c r="Q3" s="664" t="s">
        <v>1243</v>
      </c>
      <c r="R3" s="665" t="s">
        <v>1244</v>
      </c>
      <c r="S3" s="665" t="s">
        <v>1245</v>
      </c>
      <c r="T3" s="666" t="s">
        <v>1246</v>
      </c>
      <c r="U3" s="661" t="s">
        <v>1247</v>
      </c>
      <c r="V3" s="667">
        <v>2</v>
      </c>
      <c r="W3" s="668"/>
      <c r="X3" s="668" t="s">
        <v>1248</v>
      </c>
      <c r="Y3" s="659" t="s">
        <v>1223</v>
      </c>
      <c r="Z3" s="669"/>
      <c r="AA3" s="659" t="s">
        <v>1249</v>
      </c>
      <c r="AB3" s="670" t="s">
        <v>1249</v>
      </c>
      <c r="AC3" s="659" t="s">
        <v>1250</v>
      </c>
      <c r="AD3" s="670" t="s">
        <v>1250</v>
      </c>
      <c r="AF3" s="660" t="s">
        <v>1247</v>
      </c>
      <c r="AH3" s="660" t="s">
        <v>1251</v>
      </c>
      <c r="AI3" s="660" t="s">
        <v>1252</v>
      </c>
      <c r="AK3" s="660" t="s">
        <v>1253</v>
      </c>
      <c r="AM3" s="660" t="s">
        <v>1254</v>
      </c>
      <c r="AP3" s="497" t="s">
        <v>1255</v>
      </c>
      <c r="AQ3" s="671" t="s">
        <v>1255</v>
      </c>
      <c r="AS3" s="659" t="s">
        <v>1256</v>
      </c>
      <c r="AU3" s="672" t="s">
        <v>1257</v>
      </c>
      <c r="AW3" s="672" t="s">
        <v>1258</v>
      </c>
      <c r="AX3" s="672" t="s">
        <v>1258</v>
      </c>
      <c r="AZ3" s="672" t="s">
        <v>1259</v>
      </c>
      <c r="BB3" s="672" t="s">
        <v>1260</v>
      </c>
      <c r="BC3" s="672" t="s">
        <v>1233</v>
      </c>
      <c r="BE3" s="672">
        <v>2001</v>
      </c>
      <c r="BF3" s="672" t="s">
        <v>1261</v>
      </c>
      <c r="BH3" s="652" t="s">
        <v>1262</v>
      </c>
      <c r="BJ3" s="652" t="s">
        <v>1263</v>
      </c>
      <c r="BL3" s="652" t="s">
        <v>1264</v>
      </c>
      <c r="BN3" s="652" t="s">
        <v>1265</v>
      </c>
      <c r="BR3" s="652" t="s">
        <v>1266</v>
      </c>
      <c r="BU3" s="652" t="s">
        <v>1267</v>
      </c>
      <c r="BX3" s="652" t="s">
        <v>1268</v>
      </c>
      <c r="CA3" s="652" t="s">
        <v>1269</v>
      </c>
    </row>
    <row r="4" spans="1:79" ht="11.25" customHeight="1">
      <c r="A4" s="163" t="s">
        <v>1270</v>
      </c>
      <c r="B4" s="659">
        <v>2002</v>
      </c>
      <c r="C4" s="659">
        <v>2024</v>
      </c>
      <c r="E4" s="660" t="s">
        <v>1271</v>
      </c>
      <c r="F4" s="660" t="s">
        <v>1272</v>
      </c>
      <c r="H4" s="660" t="s">
        <v>1273</v>
      </c>
      <c r="I4" s="660" t="s">
        <v>90</v>
      </c>
      <c r="J4" s="660" t="s">
        <v>1274</v>
      </c>
      <c r="K4" s="661" t="s">
        <v>1275</v>
      </c>
      <c r="L4" s="661">
        <f>IFERROR(MATCH(K4,OFFER_METHOD,0),0)</f>
        <v>0</v>
      </c>
      <c r="M4" s="661">
        <v>3</v>
      </c>
      <c r="N4" s="662" t="s">
        <v>1276</v>
      </c>
      <c r="O4" s="660" t="s">
        <v>1277</v>
      </c>
      <c r="Q4" s="664" t="s">
        <v>1278</v>
      </c>
      <c r="R4" s="665" t="s">
        <v>1279</v>
      </c>
      <c r="S4" s="665" t="s">
        <v>1280</v>
      </c>
      <c r="T4" s="666" t="s">
        <v>1281</v>
      </c>
      <c r="U4" s="661" t="s">
        <v>1282</v>
      </c>
      <c r="V4" s="667">
        <v>3</v>
      </c>
      <c r="W4" s="668"/>
      <c r="X4" s="668" t="s">
        <v>1283</v>
      </c>
      <c r="Y4" s="659" t="s">
        <v>1223</v>
      </c>
      <c r="AC4" s="659" t="s">
        <v>1284</v>
      </c>
      <c r="AD4" s="670" t="s">
        <v>1284</v>
      </c>
      <c r="AF4" s="660" t="s">
        <v>1282</v>
      </c>
      <c r="AH4" s="660" t="s">
        <v>1285</v>
      </c>
      <c r="AK4" s="660" t="s">
        <v>1286</v>
      </c>
      <c r="AM4" s="660" t="s">
        <v>1287</v>
      </c>
      <c r="AP4" s="497" t="s">
        <v>1248</v>
      </c>
      <c r="AQ4" s="671" t="s">
        <v>1248</v>
      </c>
      <c r="AS4" s="659" t="s">
        <v>1288</v>
      </c>
      <c r="AU4" s="672" t="s">
        <v>1289</v>
      </c>
      <c r="AW4" s="672" t="s">
        <v>1290</v>
      </c>
      <c r="AX4" s="672" t="s">
        <v>1290</v>
      </c>
      <c r="AZ4" s="672" t="s">
        <v>1291</v>
      </c>
      <c r="BB4" s="672" t="s">
        <v>1292</v>
      </c>
      <c r="BC4" s="672" t="s">
        <v>1293</v>
      </c>
      <c r="BE4" s="672">
        <v>2002</v>
      </c>
      <c r="BF4" s="672" t="s">
        <v>1294</v>
      </c>
      <c r="BH4" s="673" t="s">
        <v>1295</v>
      </c>
      <c r="BJ4" s="673" t="s">
        <v>1295</v>
      </c>
      <c r="BL4" s="673" t="s">
        <v>1295</v>
      </c>
      <c r="BN4" s="673" t="s">
        <v>1295</v>
      </c>
      <c r="BQ4" s="674" t="s">
        <v>1296</v>
      </c>
      <c r="BR4" s="497" t="s">
        <v>1297</v>
      </c>
      <c r="BT4" s="674" t="s">
        <v>1298</v>
      </c>
      <c r="BU4" s="497" t="s">
        <v>1299</v>
      </c>
      <c r="BW4" s="674" t="s">
        <v>1300</v>
      </c>
      <c r="BX4" s="497" t="s">
        <v>1301</v>
      </c>
      <c r="BZ4" s="674" t="s">
        <v>1302</v>
      </c>
      <c r="CA4" s="497" t="s">
        <v>1303</v>
      </c>
    </row>
    <row r="5" spans="1:79" ht="11.25" customHeight="1">
      <c r="A5" s="163" t="s">
        <v>1304</v>
      </c>
      <c r="B5" s="659">
        <v>2003</v>
      </c>
      <c r="C5" s="659">
        <v>2025</v>
      </c>
      <c r="E5" s="660" t="s">
        <v>1305</v>
      </c>
      <c r="F5" s="660" t="s">
        <v>1306</v>
      </c>
      <c r="H5" s="660" t="s">
        <v>1307</v>
      </c>
      <c r="I5" s="660" t="s">
        <v>91</v>
      </c>
      <c r="K5" s="661" t="s">
        <v>1308</v>
      </c>
      <c r="L5" s="661">
        <f>IFERROR(MATCH(K5,OFFER_METHOD,0),0)</f>
        <v>0</v>
      </c>
      <c r="M5" s="661">
        <v>4</v>
      </c>
      <c r="N5" s="675" t="s">
        <v>1309</v>
      </c>
      <c r="O5" s="660" t="s">
        <v>1310</v>
      </c>
      <c r="Q5" s="664" t="s">
        <v>1311</v>
      </c>
      <c r="R5" s="665" t="s">
        <v>1312</v>
      </c>
      <c r="T5" s="660" t="s">
        <v>1313</v>
      </c>
      <c r="U5" s="661" t="s">
        <v>1314</v>
      </c>
      <c r="V5" s="667">
        <v>4</v>
      </c>
      <c r="W5" s="668"/>
      <c r="X5" s="668" t="s">
        <v>169</v>
      </c>
      <c r="Y5" s="659" t="s">
        <v>1315</v>
      </c>
      <c r="Z5" s="125">
        <v>1</v>
      </c>
      <c r="AF5" s="660" t="s">
        <v>1316</v>
      </c>
      <c r="AH5" s="660" t="s">
        <v>1317</v>
      </c>
      <c r="AK5" s="660" t="s">
        <v>1318</v>
      </c>
      <c r="AM5" s="660" t="s">
        <v>1319</v>
      </c>
      <c r="AP5" s="497" t="s">
        <v>169</v>
      </c>
      <c r="AQ5" s="671" t="s">
        <v>169</v>
      </c>
      <c r="AU5" s="672" t="s">
        <v>1320</v>
      </c>
      <c r="AW5" s="672" t="s">
        <v>1321</v>
      </c>
      <c r="AX5" s="672" t="s">
        <v>1321</v>
      </c>
      <c r="AZ5" s="672" t="s">
        <v>1322</v>
      </c>
      <c r="BB5" s="672" t="s">
        <v>1323</v>
      </c>
      <c r="BC5" s="672" t="s">
        <v>1324</v>
      </c>
      <c r="BE5" s="672">
        <v>2003</v>
      </c>
      <c r="BF5" s="672" t="s">
        <v>1325</v>
      </c>
      <c r="BH5" s="673" t="s">
        <v>1326</v>
      </c>
      <c r="BJ5" s="673" t="s">
        <v>1326</v>
      </c>
      <c r="BL5" s="673" t="s">
        <v>1326</v>
      </c>
      <c r="BN5" s="673" t="s">
        <v>1327</v>
      </c>
      <c r="BQ5" s="672">
        <v>4213775</v>
      </c>
      <c r="BR5" s="673" t="s">
        <v>1222</v>
      </c>
      <c r="BT5" s="672">
        <v>64236871</v>
      </c>
      <c r="BU5" s="673" t="s">
        <v>230</v>
      </c>
      <c r="BW5" s="672">
        <v>4213767</v>
      </c>
      <c r="BX5" s="673" t="s">
        <v>1328</v>
      </c>
      <c r="BZ5" s="672">
        <v>64237509</v>
      </c>
      <c r="CA5" s="676" t="s">
        <v>1329</v>
      </c>
    </row>
    <row r="6" spans="1:79" ht="11.25" customHeight="1">
      <c r="A6" s="163" t="s">
        <v>1330</v>
      </c>
      <c r="B6" s="659">
        <v>2004</v>
      </c>
      <c r="C6" s="659">
        <v>2026</v>
      </c>
      <c r="E6" s="660" t="s">
        <v>1331</v>
      </c>
      <c r="H6" s="660" t="s">
        <v>1332</v>
      </c>
      <c r="I6" s="660" t="s">
        <v>112</v>
      </c>
      <c r="J6" s="652" t="s">
        <v>1333</v>
      </c>
      <c r="L6" s="661">
        <f>SUM(kind_of_control_method_filter)</f>
        <v>0</v>
      </c>
      <c r="N6" s="675" t="s">
        <v>1334</v>
      </c>
      <c r="O6" s="660" t="s">
        <v>1335</v>
      </c>
      <c r="R6" s="665" t="s">
        <v>1217</v>
      </c>
      <c r="T6" s="660" t="s">
        <v>1336</v>
      </c>
      <c r="U6" s="661" t="s">
        <v>1316</v>
      </c>
      <c r="V6" s="667">
        <v>5</v>
      </c>
      <c r="W6" s="668"/>
      <c r="X6" s="659" t="s">
        <v>175</v>
      </c>
      <c r="Y6" s="659" t="s">
        <v>1337</v>
      </c>
      <c r="AH6" s="660" t="s">
        <v>1338</v>
      </c>
      <c r="AK6" s="660" t="s">
        <v>1339</v>
      </c>
      <c r="AM6" s="660" t="s">
        <v>1340</v>
      </c>
      <c r="AP6" s="497" t="s">
        <v>175</v>
      </c>
      <c r="AQ6" s="671" t="s">
        <v>175</v>
      </c>
      <c r="AU6" s="672" t="s">
        <v>1341</v>
      </c>
      <c r="AW6" s="672" t="s">
        <v>1342</v>
      </c>
      <c r="AX6" s="672" t="s">
        <v>1342</v>
      </c>
      <c r="BB6" s="672" t="s">
        <v>1343</v>
      </c>
      <c r="BC6" s="672" t="s">
        <v>1324</v>
      </c>
      <c r="BE6" s="672">
        <v>2004</v>
      </c>
      <c r="BF6" s="672" t="s">
        <v>1344</v>
      </c>
      <c r="BH6" s="673" t="s">
        <v>1345</v>
      </c>
      <c r="BJ6" s="673" t="s">
        <v>1346</v>
      </c>
      <c r="BL6" s="673" t="s">
        <v>1346</v>
      </c>
      <c r="BN6" s="673" t="s">
        <v>1347</v>
      </c>
      <c r="BQ6" s="672">
        <v>4213784</v>
      </c>
      <c r="BR6" s="676" t="s">
        <v>1255</v>
      </c>
      <c r="BT6" s="672">
        <v>64236872</v>
      </c>
      <c r="BU6" s="673" t="s">
        <v>235</v>
      </c>
      <c r="BW6" s="672">
        <v>4213768</v>
      </c>
      <c r="BX6" s="673" t="s">
        <v>255</v>
      </c>
      <c r="BZ6" s="672">
        <v>64237510</v>
      </c>
      <c r="CA6" s="673" t="s">
        <v>1348</v>
      </c>
    </row>
    <row r="7" spans="1:79" ht="11.25" customHeight="1">
      <c r="A7" s="163" t="s">
        <v>1349</v>
      </c>
      <c r="B7" s="659">
        <v>2005</v>
      </c>
      <c r="E7" s="660" t="s">
        <v>1350</v>
      </c>
      <c r="H7" s="660" t="s">
        <v>1351</v>
      </c>
      <c r="I7" s="660" t="s">
        <v>92</v>
      </c>
      <c r="J7" s="660" t="s">
        <v>1352</v>
      </c>
      <c r="N7" s="677" t="s">
        <v>1353</v>
      </c>
      <c r="O7" s="660" t="s">
        <v>1354</v>
      </c>
      <c r="U7" s="661" t="s">
        <v>19</v>
      </c>
      <c r="V7" s="678" t="s">
        <v>92</v>
      </c>
      <c r="W7" s="668"/>
      <c r="X7" s="659" t="s">
        <v>181</v>
      </c>
      <c r="Y7" s="659" t="s">
        <v>1315</v>
      </c>
      <c r="AH7" s="660" t="s">
        <v>1355</v>
      </c>
      <c r="AK7" s="660" t="s">
        <v>1356</v>
      </c>
      <c r="AM7" s="660" t="s">
        <v>1357</v>
      </c>
      <c r="AP7" s="497" t="s">
        <v>181</v>
      </c>
      <c r="AQ7" s="671" t="s">
        <v>181</v>
      </c>
      <c r="AU7" s="672" t="s">
        <v>1358</v>
      </c>
      <c r="AW7" s="672" t="s">
        <v>1359</v>
      </c>
      <c r="AX7" s="672" t="s">
        <v>1359</v>
      </c>
      <c r="AZ7" s="652" t="s">
        <v>1360</v>
      </c>
      <c r="BB7" s="672" t="s">
        <v>1361</v>
      </c>
      <c r="BC7" s="672" t="s">
        <v>1324</v>
      </c>
      <c r="BE7" s="672">
        <v>2005</v>
      </c>
      <c r="BF7" s="672" t="s">
        <v>1362</v>
      </c>
      <c r="BH7" s="673" t="s">
        <v>1363</v>
      </c>
      <c r="BJ7" s="673" t="s">
        <v>1345</v>
      </c>
      <c r="BL7" s="673" t="s">
        <v>1345</v>
      </c>
      <c r="BN7" s="673" t="s">
        <v>1364</v>
      </c>
      <c r="BQ7" s="672">
        <v>4213781</v>
      </c>
      <c r="BR7" s="673" t="s">
        <v>1248</v>
      </c>
      <c r="BT7" s="672">
        <v>64236873</v>
      </c>
      <c r="BU7" s="673" t="s">
        <v>240</v>
      </c>
      <c r="BW7" s="672">
        <v>4213769</v>
      </c>
      <c r="BX7" s="673" t="s">
        <v>1365</v>
      </c>
      <c r="BZ7" s="672">
        <v>64237511</v>
      </c>
      <c r="CA7" s="673" t="s">
        <v>270</v>
      </c>
    </row>
    <row r="8" spans="1:79" ht="11.25" customHeight="1">
      <c r="A8" s="163" t="s">
        <v>1366</v>
      </c>
      <c r="B8" s="659">
        <v>2006</v>
      </c>
      <c r="E8" s="660" t="s">
        <v>1367</v>
      </c>
      <c r="H8" s="660" t="s">
        <v>1368</v>
      </c>
      <c r="I8" s="660" t="s">
        <v>93</v>
      </c>
      <c r="J8" s="660" t="s">
        <v>1369</v>
      </c>
      <c r="N8" s="679" t="s">
        <v>1370</v>
      </c>
      <c r="O8" s="660" t="s">
        <v>1371</v>
      </c>
      <c r="V8" s="678" t="s">
        <v>93</v>
      </c>
      <c r="W8" s="668"/>
      <c r="X8" s="659" t="s">
        <v>187</v>
      </c>
      <c r="Y8" s="659" t="s">
        <v>1315</v>
      </c>
      <c r="AK8" s="660" t="s">
        <v>1372</v>
      </c>
      <c r="AP8" s="497" t="s">
        <v>187</v>
      </c>
      <c r="AQ8" s="671" t="s">
        <v>187</v>
      </c>
      <c r="AU8" s="672" t="s">
        <v>1373</v>
      </c>
      <c r="AW8" s="672" t="s">
        <v>1374</v>
      </c>
      <c r="AX8" s="672" t="s">
        <v>1374</v>
      </c>
      <c r="AZ8" s="672" t="s">
        <v>1375</v>
      </c>
      <c r="BB8" s="672" t="s">
        <v>1376</v>
      </c>
      <c r="BC8" s="672" t="s">
        <v>1324</v>
      </c>
      <c r="BE8" s="672">
        <v>2006</v>
      </c>
      <c r="BF8" s="672" t="s">
        <v>1377</v>
      </c>
      <c r="BH8" s="673" t="s">
        <v>1378</v>
      </c>
      <c r="BJ8" s="673" t="s">
        <v>1379</v>
      </c>
      <c r="BL8" s="673" t="s">
        <v>1379</v>
      </c>
      <c r="BN8" s="673" t="s">
        <v>1380</v>
      </c>
      <c r="BQ8" s="672">
        <v>4213776</v>
      </c>
      <c r="BR8" s="673" t="s">
        <v>169</v>
      </c>
      <c r="BT8" s="672">
        <v>64236874</v>
      </c>
      <c r="BU8" s="676" t="s">
        <v>1381</v>
      </c>
      <c r="BW8" s="672">
        <v>4213770</v>
      </c>
      <c r="BX8" s="676" t="s">
        <v>1382</v>
      </c>
      <c r="BZ8" s="672">
        <v>64237512</v>
      </c>
      <c r="CA8" s="673" t="s">
        <v>265</v>
      </c>
    </row>
    <row r="9" spans="1:79" ht="11.25" customHeight="1">
      <c r="A9" s="163" t="s">
        <v>1383</v>
      </c>
      <c r="B9" s="659">
        <v>2007</v>
      </c>
      <c r="E9" s="660" t="s">
        <v>1384</v>
      </c>
      <c r="G9" s="652" t="s">
        <v>1385</v>
      </c>
      <c r="H9" s="652" t="s">
        <v>1386</v>
      </c>
      <c r="I9" s="660" t="s">
        <v>113</v>
      </c>
      <c r="O9" s="660" t="s">
        <v>1387</v>
      </c>
      <c r="V9" s="678" t="s">
        <v>113</v>
      </c>
      <c r="W9" s="668"/>
      <c r="X9" s="659" t="s">
        <v>193</v>
      </c>
      <c r="Y9" s="659" t="s">
        <v>1223</v>
      </c>
      <c r="Z9" s="125">
        <v>1</v>
      </c>
      <c r="AK9" s="660" t="s">
        <v>1388</v>
      </c>
      <c r="AP9" s="497" t="s">
        <v>1389</v>
      </c>
      <c r="AQ9" s="671" t="s">
        <v>1389</v>
      </c>
      <c r="AW9" s="672" t="s">
        <v>1390</v>
      </c>
      <c r="AX9" s="672" t="s">
        <v>1390</v>
      </c>
      <c r="AZ9" s="672" t="s">
        <v>1391</v>
      </c>
      <c r="BB9" s="672" t="s">
        <v>1392</v>
      </c>
      <c r="BC9" s="672" t="s">
        <v>1324</v>
      </c>
      <c r="BE9" s="672">
        <v>2007</v>
      </c>
      <c r="BF9" s="672" t="s">
        <v>1393</v>
      </c>
      <c r="BH9" s="673" t="s">
        <v>1394</v>
      </c>
      <c r="BJ9" s="673" t="s">
        <v>1395</v>
      </c>
      <c r="BL9" s="673" t="s">
        <v>1395</v>
      </c>
      <c r="BN9" s="673" t="s">
        <v>1396</v>
      </c>
      <c r="BQ9" s="672">
        <v>4213777</v>
      </c>
      <c r="BR9" s="673" t="s">
        <v>175</v>
      </c>
      <c r="BT9" s="672">
        <v>64236875</v>
      </c>
      <c r="BU9" s="673" t="s">
        <v>245</v>
      </c>
    </row>
    <row r="10" spans="1:79" ht="11.25" customHeight="1">
      <c r="A10" s="163" t="s">
        <v>1397</v>
      </c>
      <c r="B10" s="659">
        <v>2008</v>
      </c>
      <c r="E10" s="660" t="s">
        <v>1398</v>
      </c>
      <c r="G10" s="660" t="s">
        <v>1399</v>
      </c>
      <c r="H10" s="660" t="s">
        <v>1400</v>
      </c>
      <c r="I10" s="660" t="s">
        <v>151</v>
      </c>
      <c r="J10" s="652" t="s">
        <v>1401</v>
      </c>
      <c r="K10" s="652" t="s">
        <v>1402</v>
      </c>
      <c r="O10" s="660" t="s">
        <v>1403</v>
      </c>
      <c r="V10" s="680" t="s">
        <v>151</v>
      </c>
      <c r="W10" s="681"/>
      <c r="X10" s="681" t="s">
        <v>1404</v>
      </c>
      <c r="Y10" s="682" t="s">
        <v>1405</v>
      </c>
      <c r="AP10" s="497" t="s">
        <v>1404</v>
      </c>
      <c r="AQ10" s="671" t="s">
        <v>1404</v>
      </c>
      <c r="AW10" s="672" t="s">
        <v>1406</v>
      </c>
      <c r="AX10" s="672" t="s">
        <v>1406</v>
      </c>
      <c r="AZ10" s="672" t="s">
        <v>1407</v>
      </c>
      <c r="BB10" s="672" t="s">
        <v>1408</v>
      </c>
      <c r="BC10" s="672" t="s">
        <v>1324</v>
      </c>
      <c r="BE10" s="672">
        <v>2008</v>
      </c>
      <c r="BF10" s="672" t="s">
        <v>1409</v>
      </c>
      <c r="BH10" s="673" t="s">
        <v>1410</v>
      </c>
      <c r="BJ10" s="673" t="s">
        <v>1411</v>
      </c>
      <c r="BL10" s="673" t="s">
        <v>1411</v>
      </c>
      <c r="BN10" s="673" t="s">
        <v>1412</v>
      </c>
      <c r="BQ10" s="672">
        <v>4213778</v>
      </c>
      <c r="BR10" s="673" t="s">
        <v>181</v>
      </c>
      <c r="BT10" s="672">
        <v>64236876</v>
      </c>
      <c r="BU10" s="673" t="s">
        <v>225</v>
      </c>
    </row>
    <row r="11" spans="1:79" ht="11.25" customHeight="1">
      <c r="A11" s="163" t="s">
        <v>1413</v>
      </c>
      <c r="B11" s="659">
        <v>2009</v>
      </c>
      <c r="E11" s="660" t="s">
        <v>1414</v>
      </c>
      <c r="G11" s="660" t="s">
        <v>1415</v>
      </c>
      <c r="H11" s="660" t="s">
        <v>1416</v>
      </c>
      <c r="I11" s="660" t="s">
        <v>152</v>
      </c>
      <c r="J11" s="660" t="s">
        <v>1417</v>
      </c>
      <c r="K11" s="683" t="s">
        <v>1418</v>
      </c>
      <c r="O11" s="660" t="s">
        <v>1419</v>
      </c>
      <c r="V11" s="678" t="s">
        <v>152</v>
      </c>
      <c r="W11" s="684"/>
      <c r="X11" s="668" t="s">
        <v>1389</v>
      </c>
      <c r="Y11" s="659" t="s">
        <v>1420</v>
      </c>
      <c r="AP11" s="497" t="s">
        <v>193</v>
      </c>
      <c r="AQ11" s="685" t="s">
        <v>193</v>
      </c>
      <c r="AW11" s="672" t="s">
        <v>1421</v>
      </c>
      <c r="AX11" s="672" t="s">
        <v>1421</v>
      </c>
      <c r="AZ11" s="672" t="s">
        <v>1422</v>
      </c>
      <c r="BB11" s="672" t="s">
        <v>1423</v>
      </c>
      <c r="BC11" s="672" t="s">
        <v>1324</v>
      </c>
      <c r="BE11" s="672">
        <v>2009</v>
      </c>
      <c r="BF11" s="672" t="s">
        <v>1424</v>
      </c>
      <c r="BH11" s="673" t="s">
        <v>1425</v>
      </c>
      <c r="BJ11" s="673" t="s">
        <v>1394</v>
      </c>
      <c r="BL11" s="673" t="s">
        <v>1394</v>
      </c>
      <c r="BN11" s="673" t="s">
        <v>1426</v>
      </c>
      <c r="BQ11" s="672">
        <v>4213780</v>
      </c>
      <c r="BR11" s="673" t="s">
        <v>187</v>
      </c>
    </row>
    <row r="12" spans="1:79" ht="11.25" customHeight="1">
      <c r="A12" s="163" t="s">
        <v>1427</v>
      </c>
      <c r="B12" s="659">
        <v>2010</v>
      </c>
      <c r="E12" s="660" t="s">
        <v>1428</v>
      </c>
      <c r="G12" s="660" t="s">
        <v>1416</v>
      </c>
      <c r="I12" s="660" t="s">
        <v>153</v>
      </c>
      <c r="J12" s="660" t="s">
        <v>1429</v>
      </c>
      <c r="K12" s="683" t="s">
        <v>1430</v>
      </c>
      <c r="O12" s="660" t="s">
        <v>1217</v>
      </c>
      <c r="V12" s="678" t="s">
        <v>153</v>
      </c>
      <c r="W12" s="685"/>
      <c r="X12" s="668" t="s">
        <v>1431</v>
      </c>
      <c r="Y12" s="659" t="s">
        <v>1223</v>
      </c>
      <c r="AW12" s="672" t="s">
        <v>152</v>
      </c>
      <c r="AX12" s="672" t="s">
        <v>152</v>
      </c>
      <c r="AZ12" s="672" t="s">
        <v>1432</v>
      </c>
      <c r="BB12" s="672" t="s">
        <v>1433</v>
      </c>
      <c r="BC12" s="672" t="s">
        <v>1324</v>
      </c>
      <c r="BE12" s="672">
        <v>2010</v>
      </c>
      <c r="BF12" s="672" t="s">
        <v>1434</v>
      </c>
      <c r="BH12" s="673" t="s">
        <v>1435</v>
      </c>
      <c r="BJ12" s="673" t="s">
        <v>1436</v>
      </c>
      <c r="BL12" s="673" t="s">
        <v>1436</v>
      </c>
      <c r="BN12" s="673" t="s">
        <v>1437</v>
      </c>
      <c r="BQ12" s="672">
        <v>4213779</v>
      </c>
      <c r="BR12" s="673" t="s">
        <v>1389</v>
      </c>
    </row>
    <row r="13" spans="1:79" ht="11.25" customHeight="1">
      <c r="A13" s="163" t="s">
        <v>16</v>
      </c>
      <c r="B13" s="659">
        <v>2011</v>
      </c>
      <c r="E13" s="660" t="s">
        <v>1438</v>
      </c>
      <c r="I13" s="660" t="s">
        <v>154</v>
      </c>
      <c r="K13" s="683" t="s">
        <v>1388</v>
      </c>
      <c r="V13" s="678" t="s">
        <v>154</v>
      </c>
      <c r="W13" s="685"/>
      <c r="X13" s="685"/>
      <c r="Y13" s="685"/>
      <c r="AW13" s="672" t="s">
        <v>153</v>
      </c>
      <c r="AX13" s="672" t="s">
        <v>153</v>
      </c>
      <c r="BB13" s="672" t="s">
        <v>1439</v>
      </c>
      <c r="BC13" s="672" t="s">
        <v>1440</v>
      </c>
      <c r="BE13" s="672">
        <v>2011</v>
      </c>
      <c r="BF13" s="672" t="s">
        <v>1441</v>
      </c>
      <c r="BH13" s="673" t="s">
        <v>1442</v>
      </c>
      <c r="BJ13" s="673" t="s">
        <v>1425</v>
      </c>
      <c r="BL13" s="673" t="s">
        <v>1425</v>
      </c>
      <c r="BN13" s="673" t="s">
        <v>1443</v>
      </c>
      <c r="BQ13" s="672">
        <v>4213783</v>
      </c>
      <c r="BR13" s="673" t="s">
        <v>1404</v>
      </c>
    </row>
    <row r="14" spans="1:79" ht="11.25" customHeight="1">
      <c r="A14" s="163" t="s">
        <v>1444</v>
      </c>
      <c r="B14" s="659">
        <v>2012</v>
      </c>
      <c r="I14" s="660" t="s">
        <v>155</v>
      </c>
      <c r="J14" s="652" t="s">
        <v>1445</v>
      </c>
      <c r="N14" s="652" t="s">
        <v>1446</v>
      </c>
      <c r="V14" s="667">
        <v>13</v>
      </c>
      <c r="W14" s="668"/>
      <c r="X14" s="668" t="s">
        <v>1255</v>
      </c>
      <c r="Y14" s="659" t="s">
        <v>1223</v>
      </c>
      <c r="AW14" s="672" t="s">
        <v>154</v>
      </c>
      <c r="AX14" s="672" t="s">
        <v>154</v>
      </c>
      <c r="AZ14" s="652" t="s">
        <v>1447</v>
      </c>
      <c r="BB14" s="672" t="s">
        <v>1448</v>
      </c>
      <c r="BC14" s="672" t="s">
        <v>1440</v>
      </c>
      <c r="BE14" s="672">
        <v>2012</v>
      </c>
      <c r="BH14" s="673" t="s">
        <v>1364</v>
      </c>
      <c r="BJ14" s="686" t="s">
        <v>1449</v>
      </c>
      <c r="BL14" s="686" t="s">
        <v>1449</v>
      </c>
      <c r="BN14" s="673" t="s">
        <v>1450</v>
      </c>
      <c r="BQ14" s="672">
        <v>4213782</v>
      </c>
      <c r="BR14" s="673" t="s">
        <v>193</v>
      </c>
    </row>
    <row r="15" spans="1:79" ht="19.5" customHeight="1">
      <c r="A15" s="163" t="s">
        <v>1451</v>
      </c>
      <c r="B15" s="659">
        <v>2013</v>
      </c>
      <c r="E15" s="687" t="s">
        <v>1452</v>
      </c>
      <c r="G15" s="652" t="s">
        <v>1453</v>
      </c>
      <c r="H15" s="652" t="s">
        <v>1454</v>
      </c>
      <c r="I15" s="661" t="s">
        <v>156</v>
      </c>
      <c r="J15" s="685" t="s">
        <v>584</v>
      </c>
      <c r="N15" s="688" t="s">
        <v>1455</v>
      </c>
      <c r="AW15" s="672" t="s">
        <v>155</v>
      </c>
      <c r="AX15" s="672" t="s">
        <v>155</v>
      </c>
      <c r="AZ15" s="672" t="s">
        <v>1375</v>
      </c>
      <c r="BB15" s="672" t="s">
        <v>1456</v>
      </c>
      <c r="BC15" s="672" t="s">
        <v>1440</v>
      </c>
      <c r="BE15" s="672">
        <v>2013</v>
      </c>
      <c r="BH15" s="673" t="s">
        <v>1380</v>
      </c>
      <c r="BJ15" s="686" t="s">
        <v>1457</v>
      </c>
      <c r="BL15" s="686" t="s">
        <v>1457</v>
      </c>
      <c r="BN15" s="673" t="s">
        <v>1458</v>
      </c>
    </row>
    <row r="16" spans="1:79" ht="21" customHeight="1">
      <c r="A16" s="689" t="s">
        <v>1459</v>
      </c>
      <c r="B16" s="659">
        <v>2014</v>
      </c>
      <c r="E16" s="690" t="s">
        <v>1460</v>
      </c>
      <c r="G16" s="660" t="s">
        <v>1461</v>
      </c>
      <c r="H16" s="660" t="s">
        <v>1462</v>
      </c>
      <c r="I16" s="661" t="s">
        <v>1463</v>
      </c>
      <c r="J16" s="685" t="s">
        <v>557</v>
      </c>
      <c r="N16" s="688" t="s">
        <v>1464</v>
      </c>
      <c r="AW16" s="672" t="s">
        <v>156</v>
      </c>
      <c r="AX16" s="672" t="s">
        <v>156</v>
      </c>
      <c r="AZ16" s="672" t="s">
        <v>1391</v>
      </c>
      <c r="BB16" s="672" t="s">
        <v>1465</v>
      </c>
      <c r="BC16" s="672" t="s">
        <v>1440</v>
      </c>
      <c r="BE16" s="672">
        <v>2014</v>
      </c>
      <c r="BH16" s="673" t="s">
        <v>1396</v>
      </c>
      <c r="BJ16" s="686" t="s">
        <v>1466</v>
      </c>
      <c r="BL16" s="686" t="s">
        <v>1466</v>
      </c>
      <c r="BN16" s="673" t="s">
        <v>1467</v>
      </c>
    </row>
    <row r="17" spans="1:82" ht="21" customHeight="1">
      <c r="A17" s="163" t="s">
        <v>1468</v>
      </c>
      <c r="B17" s="659">
        <v>2015</v>
      </c>
      <c r="G17" s="660" t="s">
        <v>1416</v>
      </c>
      <c r="H17" s="660" t="s">
        <v>1416</v>
      </c>
      <c r="I17" s="660" t="s">
        <v>1469</v>
      </c>
      <c r="N17" s="688" t="s">
        <v>1470</v>
      </c>
      <c r="AW17" s="672" t="s">
        <v>1463</v>
      </c>
      <c r="AX17" s="672" t="s">
        <v>1463</v>
      </c>
      <c r="AZ17" s="672" t="s">
        <v>1471</v>
      </c>
      <c r="BB17" s="672" t="s">
        <v>1472</v>
      </c>
      <c r="BC17" s="672" t="s">
        <v>1324</v>
      </c>
      <c r="BE17" s="672">
        <v>2015</v>
      </c>
      <c r="BH17" s="673" t="s">
        <v>1412</v>
      </c>
      <c r="BJ17" s="686" t="s">
        <v>1473</v>
      </c>
      <c r="BL17" s="686" t="s">
        <v>1473</v>
      </c>
      <c r="BN17" s="673" t="s">
        <v>1474</v>
      </c>
      <c r="BR17" s="652" t="s">
        <v>1266</v>
      </c>
      <c r="BU17" s="652" t="s">
        <v>1475</v>
      </c>
      <c r="BX17" s="652" t="s">
        <v>1476</v>
      </c>
      <c r="CA17" s="652" t="s">
        <v>1477</v>
      </c>
      <c r="CD17" s="652" t="s">
        <v>1478</v>
      </c>
    </row>
    <row r="18" spans="1:82" ht="21" customHeight="1">
      <c r="A18" s="163" t="s">
        <v>1479</v>
      </c>
      <c r="B18" s="659">
        <v>2016</v>
      </c>
      <c r="E18" s="691" t="s">
        <v>1480</v>
      </c>
      <c r="I18" s="660" t="s">
        <v>1481</v>
      </c>
      <c r="N18" s="688" t="s">
        <v>1482</v>
      </c>
      <c r="AW18" s="672" t="s">
        <v>1469</v>
      </c>
      <c r="AX18" s="672" t="s">
        <v>1469</v>
      </c>
      <c r="BB18" s="672" t="s">
        <v>1483</v>
      </c>
      <c r="BC18" s="672" t="s">
        <v>1324</v>
      </c>
      <c r="BE18" s="672">
        <v>2016</v>
      </c>
      <c r="BH18" s="673" t="s">
        <v>1426</v>
      </c>
      <c r="BJ18" s="686" t="s">
        <v>1484</v>
      </c>
      <c r="BL18" s="686" t="s">
        <v>1484</v>
      </c>
      <c r="BN18" s="673" t="s">
        <v>1485</v>
      </c>
      <c r="BQ18" s="674" t="s">
        <v>1296</v>
      </c>
      <c r="BR18" s="497" t="s">
        <v>1297</v>
      </c>
      <c r="BT18" s="674" t="s">
        <v>1486</v>
      </c>
      <c r="BU18" s="497" t="s">
        <v>1487</v>
      </c>
      <c r="BW18" s="674" t="s">
        <v>1488</v>
      </c>
      <c r="BX18" s="497" t="s">
        <v>1489</v>
      </c>
      <c r="BZ18" s="674" t="s">
        <v>1490</v>
      </c>
      <c r="CA18" s="497" t="s">
        <v>1491</v>
      </c>
      <c r="CC18" s="674" t="s">
        <v>1492</v>
      </c>
      <c r="CD18" s="497" t="s">
        <v>1493</v>
      </c>
    </row>
    <row r="19" spans="1:82" ht="21" customHeight="1">
      <c r="A19" s="689" t="s">
        <v>1494</v>
      </c>
      <c r="B19" s="659">
        <v>2017</v>
      </c>
      <c r="E19" s="163" t="s">
        <v>168</v>
      </c>
      <c r="I19" s="660" t="s">
        <v>1495</v>
      </c>
      <c r="N19" s="688" t="s">
        <v>1496</v>
      </c>
      <c r="AW19" s="672" t="s">
        <v>1481</v>
      </c>
      <c r="AX19" s="672" t="s">
        <v>1481</v>
      </c>
      <c r="AZ19" s="652" t="s">
        <v>1497</v>
      </c>
      <c r="BB19" s="672" t="s">
        <v>1498</v>
      </c>
      <c r="BC19" s="672" t="s">
        <v>1324</v>
      </c>
      <c r="BE19" s="672">
        <v>2017</v>
      </c>
      <c r="BH19" s="673" t="s">
        <v>1499</v>
      </c>
      <c r="BJ19" s="686" t="s">
        <v>1500</v>
      </c>
      <c r="BL19" s="686" t="s">
        <v>1500</v>
      </c>
      <c r="BQ19" s="672">
        <v>4190064</v>
      </c>
      <c r="BR19" s="673" t="s">
        <v>1501</v>
      </c>
      <c r="BT19" s="672">
        <v>4189671</v>
      </c>
      <c r="BU19" s="673" t="s">
        <v>1502</v>
      </c>
      <c r="BW19" s="672">
        <v>4189706</v>
      </c>
      <c r="BX19" s="673" t="s">
        <v>1503</v>
      </c>
      <c r="BZ19" s="672">
        <v>4189714</v>
      </c>
      <c r="CA19" s="673" t="s">
        <v>1504</v>
      </c>
      <c r="CC19" s="672">
        <v>4189708</v>
      </c>
      <c r="CD19" s="673" t="s">
        <v>1505</v>
      </c>
    </row>
    <row r="20" spans="1:82" ht="21" customHeight="1">
      <c r="A20" s="163" t="s">
        <v>1506</v>
      </c>
      <c r="B20" s="659">
        <v>2018</v>
      </c>
      <c r="E20" s="163" t="s">
        <v>1255</v>
      </c>
      <c r="I20" s="660" t="s">
        <v>1507</v>
      </c>
      <c r="N20" s="688" t="s">
        <v>1508</v>
      </c>
      <c r="AW20" s="672" t="s">
        <v>1495</v>
      </c>
      <c r="AX20" s="672" t="s">
        <v>1495</v>
      </c>
      <c r="AZ20" s="672" t="s">
        <v>1509</v>
      </c>
      <c r="BB20" s="672" t="s">
        <v>1510</v>
      </c>
      <c r="BC20" s="672" t="s">
        <v>1440</v>
      </c>
      <c r="BE20" s="672">
        <v>2018</v>
      </c>
      <c r="BH20" s="673" t="s">
        <v>1437</v>
      </c>
      <c r="BJ20" s="673" t="s">
        <v>1364</v>
      </c>
      <c r="BL20" s="673" t="s">
        <v>1364</v>
      </c>
      <c r="BQ20" s="672">
        <v>4190065</v>
      </c>
      <c r="BR20" s="673" t="s">
        <v>1511</v>
      </c>
      <c r="BT20" s="672">
        <v>4189672</v>
      </c>
      <c r="BU20" s="673" t="s">
        <v>1512</v>
      </c>
      <c r="BW20" s="672">
        <v>4189705</v>
      </c>
      <c r="BX20" s="673" t="s">
        <v>1513</v>
      </c>
      <c r="BZ20" s="672">
        <v>4189713</v>
      </c>
      <c r="CA20" s="673" t="s">
        <v>1513</v>
      </c>
      <c r="CC20" s="672">
        <v>4189709</v>
      </c>
      <c r="CD20" s="673" t="s">
        <v>1514</v>
      </c>
    </row>
    <row r="21" spans="1:82" ht="21" customHeight="1">
      <c r="A21" s="163" t="s">
        <v>1515</v>
      </c>
      <c r="B21" s="659">
        <v>2019</v>
      </c>
      <c r="I21" s="660" t="s">
        <v>1516</v>
      </c>
      <c r="N21" s="688" t="s">
        <v>1517</v>
      </c>
      <c r="AW21" s="672" t="s">
        <v>1507</v>
      </c>
      <c r="AX21" s="672" t="s">
        <v>1507</v>
      </c>
      <c r="AZ21" s="672" t="s">
        <v>1518</v>
      </c>
      <c r="BB21" s="672" t="s">
        <v>1519</v>
      </c>
      <c r="BC21" s="672" t="s">
        <v>1324</v>
      </c>
      <c r="BE21" s="672">
        <v>2019</v>
      </c>
      <c r="BH21" s="673" t="s">
        <v>1443</v>
      </c>
      <c r="BJ21" s="673" t="s">
        <v>1380</v>
      </c>
      <c r="BL21" s="673" t="s">
        <v>1380</v>
      </c>
      <c r="BQ21" s="672">
        <v>4190066</v>
      </c>
      <c r="BR21" s="673" t="s">
        <v>1520</v>
      </c>
      <c r="BT21" s="672">
        <v>4189673</v>
      </c>
      <c r="BU21" s="673" t="s">
        <v>1521</v>
      </c>
      <c r="BW21" s="672">
        <v>4189707</v>
      </c>
      <c r="BX21" s="673" t="s">
        <v>1522</v>
      </c>
      <c r="BZ21" s="672">
        <v>4189712</v>
      </c>
      <c r="CA21" s="673" t="s">
        <v>1523</v>
      </c>
      <c r="CC21" s="672">
        <v>4189710</v>
      </c>
      <c r="CD21" s="673" t="s">
        <v>1524</v>
      </c>
    </row>
    <row r="22" spans="1:82" ht="21" customHeight="1">
      <c r="A22" s="163" t="s">
        <v>1525</v>
      </c>
      <c r="B22" s="659">
        <v>2020</v>
      </c>
      <c r="N22" s="688" t="s">
        <v>1526</v>
      </c>
      <c r="AW22" s="672" t="s">
        <v>1516</v>
      </c>
      <c r="AX22" s="672" t="s">
        <v>1516</v>
      </c>
      <c r="AZ22" s="672" t="s">
        <v>1527</v>
      </c>
      <c r="BB22" s="672" t="s">
        <v>1528</v>
      </c>
      <c r="BC22" s="672" t="s">
        <v>1324</v>
      </c>
      <c r="BE22" s="672">
        <v>2020</v>
      </c>
      <c r="BH22" s="673" t="s">
        <v>1450</v>
      </c>
      <c r="BJ22" s="673" t="s">
        <v>1396</v>
      </c>
      <c r="BL22" s="673" t="s">
        <v>1396</v>
      </c>
      <c r="BQ22" s="672">
        <v>4190067</v>
      </c>
      <c r="BR22" s="673" t="s">
        <v>1529</v>
      </c>
      <c r="BT22" s="672">
        <v>4189674</v>
      </c>
      <c r="BU22" s="673" t="s">
        <v>1530</v>
      </c>
      <c r="CC22" s="672">
        <v>4189711</v>
      </c>
      <c r="CD22" s="673" t="s">
        <v>294</v>
      </c>
    </row>
    <row r="23" spans="1:82" ht="21" customHeight="1">
      <c r="A23" s="163" t="s">
        <v>1531</v>
      </c>
      <c r="B23" s="659">
        <v>2021</v>
      </c>
      <c r="AW23" s="672" t="s">
        <v>1532</v>
      </c>
      <c r="AX23" s="672" t="s">
        <v>1532</v>
      </c>
      <c r="AZ23" s="672" t="s">
        <v>1533</v>
      </c>
      <c r="BB23" s="672" t="s">
        <v>1534</v>
      </c>
      <c r="BC23" s="672" t="s">
        <v>1233</v>
      </c>
      <c r="BE23" s="672">
        <v>2021</v>
      </c>
      <c r="BH23" s="673" t="s">
        <v>1458</v>
      </c>
      <c r="BJ23" s="673" t="s">
        <v>1412</v>
      </c>
      <c r="BL23" s="673" t="s">
        <v>1412</v>
      </c>
      <c r="BQ23" s="672">
        <v>4190068</v>
      </c>
      <c r="BR23" s="673" t="s">
        <v>1535</v>
      </c>
      <c r="BT23" s="672">
        <v>4189675</v>
      </c>
      <c r="BU23" s="673" t="s">
        <v>1536</v>
      </c>
      <c r="CC23" s="672">
        <v>5110778</v>
      </c>
      <c r="CD23" s="673" t="s">
        <v>1537</v>
      </c>
    </row>
    <row r="24" spans="1:82" ht="21" customHeight="1">
      <c r="A24" s="163" t="s">
        <v>1538</v>
      </c>
      <c r="B24" s="659">
        <v>2022</v>
      </c>
      <c r="AW24" s="672" t="s">
        <v>1539</v>
      </c>
      <c r="AX24" s="672" t="s">
        <v>1539</v>
      </c>
      <c r="AZ24" s="672" t="s">
        <v>1540</v>
      </c>
      <c r="BB24" s="672" t="s">
        <v>1541</v>
      </c>
      <c r="BC24" s="672" t="s">
        <v>1542</v>
      </c>
      <c r="BE24" s="672">
        <v>2022</v>
      </c>
      <c r="BH24" s="673" t="s">
        <v>1467</v>
      </c>
      <c r="BJ24" s="673" t="s">
        <v>1426</v>
      </c>
      <c r="BL24" s="673" t="s">
        <v>1426</v>
      </c>
      <c r="BQ24" s="672">
        <v>4190069</v>
      </c>
      <c r="BR24" s="673" t="s">
        <v>1543</v>
      </c>
      <c r="BT24" s="672">
        <v>4189676</v>
      </c>
      <c r="BU24" s="673" t="s">
        <v>1544</v>
      </c>
      <c r="CC24" s="672">
        <v>25575374</v>
      </c>
      <c r="CD24" s="673" t="s">
        <v>1545</v>
      </c>
    </row>
    <row r="25" spans="1:82" ht="11.25" customHeight="1">
      <c r="A25" s="163" t="s">
        <v>1546</v>
      </c>
      <c r="B25" s="659">
        <v>2023</v>
      </c>
      <c r="AW25" s="672" t="s">
        <v>1547</v>
      </c>
      <c r="AX25" s="672" t="s">
        <v>1547</v>
      </c>
      <c r="AZ25" s="672" t="s">
        <v>1548</v>
      </c>
      <c r="BB25" s="672" t="s">
        <v>1549</v>
      </c>
      <c r="BC25" s="672" t="s">
        <v>1542</v>
      </c>
      <c r="BE25" s="672">
        <v>2023</v>
      </c>
      <c r="BH25" s="673" t="s">
        <v>1474</v>
      </c>
      <c r="BJ25" s="673" t="s">
        <v>1499</v>
      </c>
      <c r="BL25" s="673" t="s">
        <v>1499</v>
      </c>
      <c r="BQ25" s="672">
        <v>4190070</v>
      </c>
      <c r="BR25" s="673" t="s">
        <v>1550</v>
      </c>
      <c r="BT25" s="672">
        <v>4189677</v>
      </c>
      <c r="BU25" s="673" t="s">
        <v>1551</v>
      </c>
    </row>
    <row r="26" spans="1:82" ht="11.25" customHeight="1">
      <c r="A26" s="163" t="s">
        <v>1552</v>
      </c>
      <c r="B26" s="659">
        <v>2024</v>
      </c>
      <c r="J26" s="692" t="s">
        <v>1553</v>
      </c>
      <c r="AX26" s="672" t="s">
        <v>1554</v>
      </c>
      <c r="AZ26" s="672" t="s">
        <v>1419</v>
      </c>
      <c r="BB26" s="672" t="s">
        <v>1555</v>
      </c>
      <c r="BC26" s="672" t="s">
        <v>1542</v>
      </c>
      <c r="BE26" s="672">
        <v>2024</v>
      </c>
      <c r="BH26" s="673" t="s">
        <v>1485</v>
      </c>
      <c r="BJ26" s="673" t="s">
        <v>1437</v>
      </c>
      <c r="BL26" s="673" t="s">
        <v>1437</v>
      </c>
      <c r="BQ26" s="672">
        <v>4190071</v>
      </c>
      <c r="BR26" s="673" t="s">
        <v>1556</v>
      </c>
    </row>
    <row r="27" spans="1:82" ht="11.25" customHeight="1">
      <c r="A27" s="163" t="s">
        <v>1557</v>
      </c>
      <c r="B27" s="659">
        <v>2025</v>
      </c>
      <c r="J27" s="588" t="s">
        <v>690</v>
      </c>
      <c r="AX27" s="672" t="s">
        <v>1558</v>
      </c>
      <c r="BB27" s="672" t="s">
        <v>1559</v>
      </c>
      <c r="BC27" s="672" t="s">
        <v>1542</v>
      </c>
      <c r="BE27" s="672">
        <v>2025</v>
      </c>
      <c r="BH27" t="s">
        <v>22</v>
      </c>
      <c r="BJ27" s="673" t="s">
        <v>1443</v>
      </c>
      <c r="BL27" s="673" t="s">
        <v>1443</v>
      </c>
      <c r="BN27" t="s">
        <v>22</v>
      </c>
      <c r="BQ27" s="672">
        <v>4190072</v>
      </c>
      <c r="BR27" s="673" t="s">
        <v>1560</v>
      </c>
    </row>
    <row r="28" spans="1:82" ht="11.25" customHeight="1">
      <c r="A28" s="163" t="s">
        <v>1561</v>
      </c>
      <c r="E28" s="693"/>
      <c r="F28" s="693"/>
      <c r="H28" s="138" t="s">
        <v>1562</v>
      </c>
      <c r="AX28" s="672" t="s">
        <v>1563</v>
      </c>
      <c r="AZ28" s="652" t="s">
        <v>1564</v>
      </c>
      <c r="BB28" s="672" t="s">
        <v>1565</v>
      </c>
      <c r="BC28" s="672" t="s">
        <v>1566</v>
      </c>
      <c r="BE28" s="672">
        <v>2026</v>
      </c>
      <c r="BH28" t="s">
        <v>22</v>
      </c>
      <c r="BJ28" s="673" t="s">
        <v>1450</v>
      </c>
      <c r="BL28" s="673" t="s">
        <v>1450</v>
      </c>
      <c r="BN28" t="s">
        <v>22</v>
      </c>
      <c r="BQ28" s="672">
        <v>4190073</v>
      </c>
      <c r="BR28" s="673" t="s">
        <v>1567</v>
      </c>
    </row>
    <row r="29" spans="1:82" ht="11.25" customHeight="1">
      <c r="A29" s="163" t="s">
        <v>1568</v>
      </c>
      <c r="D29" s="694" t="s">
        <v>1569</v>
      </c>
      <c r="E29" s="695" t="str">
        <f>IF(TEMPLATE_GROUP="","",INDEX(StartDateList,MATCH(TEMPLATE_GROUP,CodeTemplateList,0),1))</f>
        <v>01.04.2025</v>
      </c>
      <c r="F29" s="695" t="str">
        <f>IF(TEMPLATE_GROUP="","",INDEX(EndDateList,MATCH(TEMPLATE_GROUP,CodeTemplateList,0),1))</f>
        <v>30.06.2025</v>
      </c>
      <c r="H29" s="696" t="s">
        <v>1570</v>
      </c>
      <c r="AX29" s="672" t="s">
        <v>1571</v>
      </c>
      <c r="AZ29" s="672" t="s">
        <v>1218</v>
      </c>
      <c r="BB29" s="672" t="s">
        <v>1419</v>
      </c>
      <c r="BE29" s="672">
        <v>2027</v>
      </c>
      <c r="BJ29" s="673" t="s">
        <v>1458</v>
      </c>
      <c r="BL29" s="673" t="s">
        <v>1458</v>
      </c>
    </row>
    <row r="30" spans="1:82" ht="11.25" customHeight="1">
      <c r="A30" s="163" t="s">
        <v>1572</v>
      </c>
      <c r="AX30" s="672" t="s">
        <v>1573</v>
      </c>
      <c r="AZ30" s="672" t="s">
        <v>1244</v>
      </c>
      <c r="BE30" s="672">
        <v>2028</v>
      </c>
      <c r="BJ30" s="673" t="s">
        <v>1574</v>
      </c>
      <c r="BL30" s="673" t="s">
        <v>1574</v>
      </c>
    </row>
    <row r="31" spans="1:82" ht="12.75" customHeight="1">
      <c r="A31" s="163" t="s">
        <v>1575</v>
      </c>
      <c r="E31" s="693"/>
      <c r="F31" s="693"/>
      <c r="H31" s="697"/>
      <c r="AX31" s="672" t="s">
        <v>1576</v>
      </c>
      <c r="AZ31" s="672" t="s">
        <v>1577</v>
      </c>
      <c r="BE31" s="672">
        <v>2029</v>
      </c>
      <c r="BJ31" s="673" t="s">
        <v>1578</v>
      </c>
      <c r="BL31" s="673" t="s">
        <v>1578</v>
      </c>
    </row>
    <row r="32" spans="1:82" ht="11.25" customHeight="1">
      <c r="A32" s="163" t="s">
        <v>1579</v>
      </c>
      <c r="D32" s="694" t="s">
        <v>1580</v>
      </c>
      <c r="E32" s="695" t="str">
        <f>IF(TEMPLATE_GROUP="","",INDEX(StartDateList,MATCH(TEMPLATE_GROUP,CodeTemplateList,0),1))</f>
        <v>01.04.2025</v>
      </c>
      <c r="F32" s="695" t="str">
        <f>IF(TEMPLATE_GROUP="","",INDEX(EndDateList,MATCH(TEMPLATE_GROUP,CodeTemplateList,0),1))</f>
        <v>30.06.2025</v>
      </c>
      <c r="H32" s="698" t="s">
        <v>1581</v>
      </c>
      <c r="O32" s="163" t="s">
        <v>1216</v>
      </c>
      <c r="AX32" s="672" t="s">
        <v>1582</v>
      </c>
      <c r="AZ32" s="672" t="s">
        <v>1312</v>
      </c>
      <c r="BE32" s="672">
        <v>2030</v>
      </c>
      <c r="BJ32" s="673" t="s">
        <v>1467</v>
      </c>
      <c r="BL32" s="673" t="s">
        <v>1467</v>
      </c>
    </row>
    <row r="33" spans="1:66" ht="11.25" customHeight="1">
      <c r="A33" s="163" t="s">
        <v>1583</v>
      </c>
      <c r="O33" s="163" t="s">
        <v>1241</v>
      </c>
      <c r="AX33" s="672" t="s">
        <v>1584</v>
      </c>
      <c r="AZ33" s="672" t="s">
        <v>1217</v>
      </c>
      <c r="BE33" s="672">
        <v>2031</v>
      </c>
      <c r="BJ33" s="673" t="s">
        <v>1474</v>
      </c>
      <c r="BL33" s="673" t="s">
        <v>1474</v>
      </c>
    </row>
    <row r="34" spans="1:66" ht="11.25" customHeight="1">
      <c r="A34" s="163" t="s">
        <v>1585</v>
      </c>
      <c r="O34" s="163" t="s">
        <v>1277</v>
      </c>
      <c r="AX34" s="672" t="s">
        <v>1586</v>
      </c>
      <c r="BE34" s="672">
        <v>2032</v>
      </c>
      <c r="BJ34" s="673" t="s">
        <v>1485</v>
      </c>
      <c r="BL34" s="673" t="s">
        <v>1485</v>
      </c>
    </row>
    <row r="35" spans="1:66" ht="11.25" customHeight="1">
      <c r="A35" s="163" t="s">
        <v>1587</v>
      </c>
      <c r="O35" s="163" t="s">
        <v>1310</v>
      </c>
      <c r="AX35" s="672" t="s">
        <v>1588</v>
      </c>
      <c r="AZ35" s="652" t="s">
        <v>1589</v>
      </c>
      <c r="BE35" s="672">
        <v>2033</v>
      </c>
      <c r="BL35" s="673" t="s">
        <v>1590</v>
      </c>
    </row>
    <row r="36" spans="1:66" ht="11.25" customHeight="1">
      <c r="A36" s="689" t="s">
        <v>1591</v>
      </c>
      <c r="D36" s="699" t="s">
        <v>1592</v>
      </c>
      <c r="E36" s="700" t="s">
        <v>809</v>
      </c>
      <c r="F36" s="671" t="str">
        <f>INDEX(E37:E41,MATCH(TEMPLATE_SPHERE,F37:F41,0))</f>
        <v>теплоснабжения</v>
      </c>
      <c r="G36" s="671" t="str">
        <f>INDEX(G37:G41,MATCH(TEMPLATE_SPHERE,F37:F41,0))</f>
        <v>теплоснабжение</v>
      </c>
      <c r="O36" s="163" t="s">
        <v>1335</v>
      </c>
      <c r="AX36" s="672" t="s">
        <v>1593</v>
      </c>
      <c r="AZ36" s="672" t="s">
        <v>1217</v>
      </c>
      <c r="BE36" s="672">
        <v>2034</v>
      </c>
      <c r="BL36" s="673" t="s">
        <v>1594</v>
      </c>
    </row>
    <row r="37" spans="1:66" ht="11.25" customHeight="1">
      <c r="A37" s="163" t="s">
        <v>1595</v>
      </c>
      <c r="E37" s="701" t="s">
        <v>1596</v>
      </c>
      <c r="F37" s="702" t="s">
        <v>809</v>
      </c>
      <c r="G37" s="701" t="s">
        <v>1597</v>
      </c>
      <c r="O37" s="163" t="s">
        <v>1354</v>
      </c>
      <c r="AX37" s="672" t="s">
        <v>1598</v>
      </c>
      <c r="AZ37" s="672" t="s">
        <v>1243</v>
      </c>
      <c r="BE37" s="672">
        <v>2035</v>
      </c>
    </row>
    <row r="38" spans="1:66" ht="11.25" customHeight="1">
      <c r="A38" s="163" t="s">
        <v>1599</v>
      </c>
      <c r="E38" s="701" t="s">
        <v>1600</v>
      </c>
      <c r="F38" s="703" t="s">
        <v>855</v>
      </c>
      <c r="G38" s="701" t="s">
        <v>1601</v>
      </c>
      <c r="O38" s="163" t="s">
        <v>1371</v>
      </c>
      <c r="AX38" s="672" t="s">
        <v>1602</v>
      </c>
      <c r="AZ38" s="672" t="s">
        <v>1278</v>
      </c>
      <c r="BE38" s="672">
        <v>2036</v>
      </c>
      <c r="BH38" s="652" t="s">
        <v>1603</v>
      </c>
      <c r="BJ38" s="652" t="s">
        <v>1604</v>
      </c>
      <c r="BL38" s="652" t="s">
        <v>1605</v>
      </c>
      <c r="BN38" s="652" t="s">
        <v>1606</v>
      </c>
    </row>
    <row r="39" spans="1:66" ht="11.25" customHeight="1">
      <c r="A39" s="163" t="s">
        <v>1607</v>
      </c>
      <c r="E39" s="701" t="s">
        <v>1608</v>
      </c>
      <c r="F39" s="703" t="s">
        <v>908</v>
      </c>
      <c r="G39" s="701" t="s">
        <v>1609</v>
      </c>
      <c r="O39" s="163" t="s">
        <v>1387</v>
      </c>
      <c r="AX39" s="672" t="s">
        <v>1610</v>
      </c>
      <c r="AZ39" s="672" t="s">
        <v>1311</v>
      </c>
      <c r="BE39" s="672">
        <v>2037</v>
      </c>
      <c r="BH39" s="673" t="s">
        <v>1611</v>
      </c>
      <c r="BJ39" s="686" t="s">
        <v>1611</v>
      </c>
      <c r="BL39" s="686" t="s">
        <v>1611</v>
      </c>
      <c r="BN39" s="673" t="s">
        <v>1612</v>
      </c>
    </row>
    <row r="40" spans="1:66" ht="11.25" customHeight="1">
      <c r="A40" s="163" t="s">
        <v>1613</v>
      </c>
      <c r="E40" s="701" t="s">
        <v>1614</v>
      </c>
      <c r="F40" s="703" t="s">
        <v>895</v>
      </c>
      <c r="G40" s="701" t="s">
        <v>1615</v>
      </c>
      <c r="O40" s="163" t="s">
        <v>1403</v>
      </c>
      <c r="AX40" s="672" t="s">
        <v>1616</v>
      </c>
      <c r="BE40" s="672">
        <v>2038</v>
      </c>
      <c r="BH40" s="673" t="s">
        <v>1617</v>
      </c>
      <c r="BJ40" s="686" t="s">
        <v>1029</v>
      </c>
      <c r="BL40" s="686" t="s">
        <v>1029</v>
      </c>
      <c r="BN40" s="673" t="s">
        <v>1063</v>
      </c>
    </row>
    <row r="41" spans="1:66" ht="11.25" customHeight="1">
      <c r="A41" s="163" t="s">
        <v>1618</v>
      </c>
      <c r="E41" s="701" t="s">
        <v>1619</v>
      </c>
      <c r="F41" s="703" t="s">
        <v>1620</v>
      </c>
      <c r="G41" s="701" t="s">
        <v>1619</v>
      </c>
      <c r="O41" s="163" t="s">
        <v>1419</v>
      </c>
      <c r="AX41" s="672" t="s">
        <v>1621</v>
      </c>
      <c r="AZ41" s="652" t="s">
        <v>1622</v>
      </c>
      <c r="BE41" s="672">
        <v>2039</v>
      </c>
      <c r="BH41" s="673" t="s">
        <v>1623</v>
      </c>
      <c r="BJ41" s="686" t="s">
        <v>1025</v>
      </c>
      <c r="BL41" s="686" t="s">
        <v>1025</v>
      </c>
      <c r="BN41" s="673" t="s">
        <v>1050</v>
      </c>
    </row>
    <row r="42" spans="1:66" ht="11.25" customHeight="1">
      <c r="A42" s="163" t="s">
        <v>1624</v>
      </c>
      <c r="AX42" s="672" t="s">
        <v>1625</v>
      </c>
      <c r="AZ42" s="672" t="s">
        <v>1216</v>
      </c>
      <c r="BE42" s="672">
        <v>2040</v>
      </c>
      <c r="BH42" s="673" t="s">
        <v>1047</v>
      </c>
      <c r="BJ42" s="686" t="s">
        <v>1027</v>
      </c>
      <c r="BL42" s="686" t="s">
        <v>1027</v>
      </c>
      <c r="BN42" s="673" t="s">
        <v>1626</v>
      </c>
    </row>
    <row r="43" spans="1:66" ht="11.25" customHeight="1">
      <c r="A43" s="163" t="s">
        <v>1627</v>
      </c>
      <c r="AX43" s="672" t="s">
        <v>1628</v>
      </c>
      <c r="AZ43" s="672" t="s">
        <v>1241</v>
      </c>
      <c r="BE43" s="672">
        <v>2041</v>
      </c>
      <c r="BH43" s="673" t="s">
        <v>1629</v>
      </c>
      <c r="BJ43" s="686" t="s">
        <v>1623</v>
      </c>
      <c r="BL43" s="686" t="s">
        <v>1623</v>
      </c>
      <c r="BN43" s="673" t="s">
        <v>1630</v>
      </c>
    </row>
    <row r="44" spans="1:66" ht="11.25" customHeight="1">
      <c r="A44" s="163" t="s">
        <v>1631</v>
      </c>
      <c r="G44" s="550">
        <f ca="1">YEAR(TODAY())</f>
        <v>2025</v>
      </c>
      <c r="I44" s="704" t="s">
        <v>1632</v>
      </c>
      <c r="J44" s="685" t="s">
        <v>1633</v>
      </c>
      <c r="K44" s="685" t="s">
        <v>1634</v>
      </c>
      <c r="AX44" s="672" t="s">
        <v>1635</v>
      </c>
      <c r="AZ44" s="672" t="s">
        <v>1277</v>
      </c>
      <c r="BE44" s="672">
        <v>2042</v>
      </c>
      <c r="BH44" s="673" t="s">
        <v>1636</v>
      </c>
      <c r="BJ44" s="686" t="s">
        <v>1047</v>
      </c>
      <c r="BL44" s="686" t="s">
        <v>1047</v>
      </c>
      <c r="BN44" s="673" t="s">
        <v>1637</v>
      </c>
    </row>
    <row r="45" spans="1:66" ht="11.25" customHeight="1">
      <c r="A45" s="163" t="s">
        <v>1638</v>
      </c>
      <c r="D45" s="699" t="s">
        <v>1639</v>
      </c>
      <c r="E45" s="700" t="s">
        <v>1640</v>
      </c>
      <c r="F45" s="653" t="s">
        <v>1641</v>
      </c>
      <c r="G45" s="705" t="s">
        <v>1642</v>
      </c>
      <c r="H45" s="704" t="s">
        <v>1643</v>
      </c>
      <c r="I45" s="706" t="b">
        <f>INDEX(PeriodIsEmptyList,MATCH(TEMPLATE_GROUP,CodeTemplateList,0),1)</f>
        <v>0</v>
      </c>
      <c r="J45" s="7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7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2" t="s">
        <v>1644</v>
      </c>
      <c r="AZ45" s="672" t="s">
        <v>1310</v>
      </c>
      <c r="BE45" s="672">
        <v>2043</v>
      </c>
      <c r="BH45" s="673" t="s">
        <v>1645</v>
      </c>
      <c r="BJ45" s="686" t="s">
        <v>1041</v>
      </c>
      <c r="BL45" s="686" t="s">
        <v>1041</v>
      </c>
      <c r="BN45" s="673" t="s">
        <v>1646</v>
      </c>
    </row>
    <row r="46" spans="1:66" ht="11.25" customHeight="1">
      <c r="A46" s="163" t="s">
        <v>1647</v>
      </c>
      <c r="E46" s="701" t="s">
        <v>27</v>
      </c>
      <c r="F46" s="702" t="s">
        <v>1648</v>
      </c>
      <c r="G46" s="708" t="str">
        <f ca="1">IFERROR(IF(TITLE_DATE_FIL="","01.01."&amp;CURRENT_YEAR,"01.01."&amp;YEAR(TITLE_DATE_FIL)),"01.01."&amp;CURRENT_YEAR)</f>
        <v>01.01.2025</v>
      </c>
      <c r="H46" s="708" t="str">
        <f ca="1">IFERROR(IF(TITLE_DATE_FIL="","31.12."&amp;CURRENT_YEAR,"31.12."&amp;YEAR(TITLE_DATE_FIL)),"31.12."&amp;CURRENT_YEAR)</f>
        <v>31.12.2025</v>
      </c>
      <c r="I46" s="709" t="b">
        <f>IF(TITLE_DATE_FIL="",TRUE,FALSE)</f>
        <v>1</v>
      </c>
      <c r="J46" s="710" t="str">
        <f>"Общая информация о регулируемой организации ("&amp;TEMPLATE_SPHERE_RUS&amp;")"</f>
        <v>Общая информация о регулируемой организации (теплоснабжения)</v>
      </c>
      <c r="AX46" s="672" t="s">
        <v>1649</v>
      </c>
      <c r="AZ46" s="672" t="s">
        <v>1335</v>
      </c>
      <c r="BE46" s="672">
        <v>2044</v>
      </c>
      <c r="BH46" s="673" t="s">
        <v>1050</v>
      </c>
      <c r="BJ46" s="686" t="s">
        <v>1031</v>
      </c>
      <c r="BL46" s="686" t="s">
        <v>1031</v>
      </c>
      <c r="BN46" s="673" t="s">
        <v>1650</v>
      </c>
    </row>
    <row r="47" spans="1:66" ht="11.25" customHeight="1">
      <c r="A47" s="163" t="s">
        <v>1651</v>
      </c>
      <c r="E47" s="701" t="s">
        <v>33</v>
      </c>
      <c r="F47" s="703" t="s">
        <v>1640</v>
      </c>
      <c r="G47" s="708" t="str">
        <f>IFERROR(IF(f_year="","01.01."&amp;CURRENT_YEAR,IF(LEN(f_quart)=0,"01.01."&amp;f_year,IF(f_quart="I квартал","01.01."&amp;f_year,IF(f_quart="II квартал","01.04."&amp;f_year,(IF(f_quart="III квартал","01.07."&amp;f_year,"01.10."&amp;f_year)))))),"01.01."&amp;CURRENT_YEAR)</f>
        <v>01.04.2025</v>
      </c>
      <c r="H47" s="708" t="str">
        <f>IFERROR(IF(f_year="","31.12."&amp;CURRENT_YEAR,IF(LEN(f_quart)=0,"31.12."&amp;f_year,IF(f_quart="I квартал","31.03."&amp;f_year,IF(f_quart="II квартал","30.06."&amp;f_year,(IF(f_quart="III квартал","30.09."&amp;f_year,"31.12."&amp;f_year)))))),"31.12."&amp;CURRENT_YEAR)</f>
        <v>30.06.2025</v>
      </c>
      <c r="I47" s="711" t="b">
        <f>IF(OR(f_year="",f_quart=""),TRUE,FALSE)</f>
        <v>0</v>
      </c>
      <c r="J47" s="7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AX47" s="672" t="s">
        <v>1652</v>
      </c>
      <c r="AZ47" s="672" t="s">
        <v>1354</v>
      </c>
      <c r="BE47" s="672">
        <v>2045</v>
      </c>
      <c r="BH47" s="673" t="s">
        <v>1626</v>
      </c>
      <c r="BJ47" s="686" t="s">
        <v>1033</v>
      </c>
      <c r="BL47" s="686" t="s">
        <v>1033</v>
      </c>
      <c r="BN47" s="673" t="s">
        <v>1653</v>
      </c>
    </row>
    <row r="48" spans="1:66" ht="11.25" customHeight="1">
      <c r="A48" s="163" t="s">
        <v>1654</v>
      </c>
      <c r="E48" s="701" t="s">
        <v>1655</v>
      </c>
      <c r="F48" s="703" t="s">
        <v>1656</v>
      </c>
      <c r="G48" s="708" t="str">
        <f>IFERROR(IF(f_year="","01.01."&amp;CURRENT_YEAR,"01.01."&amp;f_year),"01.01."&amp;CURRENT_YEAR)</f>
        <v>01.01.2025</v>
      </c>
      <c r="H48" s="708" t="str">
        <f>IFERROR(IF(f_year="","31.12."&amp;CURRENT_YEAR,"31.12."&amp;f_year),"31.12."&amp;CURRENT_YEAR)</f>
        <v>31.12.2025</v>
      </c>
      <c r="I48" s="709" t="b">
        <f>IF(f_year="",TRUE,FALSE)</f>
        <v>0</v>
      </c>
      <c r="J48" s="710" t="s">
        <v>1657</v>
      </c>
      <c r="AX48" s="672" t="s">
        <v>1658</v>
      </c>
      <c r="AZ48" s="672" t="s">
        <v>1371</v>
      </c>
      <c r="BE48" s="672">
        <v>2046</v>
      </c>
      <c r="BH48" s="673" t="s">
        <v>1630</v>
      </c>
      <c r="BJ48" s="686" t="s">
        <v>1035</v>
      </c>
      <c r="BL48" s="686" t="s">
        <v>1035</v>
      </c>
      <c r="BN48" s="673" t="s">
        <v>1659</v>
      </c>
    </row>
    <row r="49" spans="1:64" ht="11.25" customHeight="1">
      <c r="A49" s="163" t="s">
        <v>1660</v>
      </c>
      <c r="E49" s="701" t="s">
        <v>1661</v>
      </c>
      <c r="F49" s="703" t="s">
        <v>1662</v>
      </c>
      <c r="G49" s="708" t="str">
        <f>IFERROR(IF(f_year="","01.01."&amp;CURRENT_YEAR,"01.01."&amp;f_year),"01.01."&amp;CURRENT_YEAR)</f>
        <v>01.01.2025</v>
      </c>
      <c r="H49" s="708" t="str">
        <f>IFERROR(IF(f_year="","31.12."&amp;CURRENT_YEAR,"31.12."&amp;f_year),"31.12."&amp;CURRENT_YEAR)</f>
        <v>31.12.2025</v>
      </c>
      <c r="I49" s="709" t="b">
        <f>IF(f_year="",TRUE,FALSE)</f>
        <v>0</v>
      </c>
      <c r="J49" s="7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AX49" s="672" t="s">
        <v>1663</v>
      </c>
      <c r="AZ49" s="672" t="s">
        <v>1387</v>
      </c>
      <c r="BE49" s="672">
        <v>2047</v>
      </c>
      <c r="BH49" s="673" t="s">
        <v>1051</v>
      </c>
      <c r="BJ49" s="686" t="s">
        <v>1037</v>
      </c>
      <c r="BL49" s="686" t="s">
        <v>1037</v>
      </c>
    </row>
    <row r="50" spans="1:64" ht="11.25" customHeight="1">
      <c r="A50" s="163" t="s">
        <v>1664</v>
      </c>
      <c r="E50" s="701" t="s">
        <v>1665</v>
      </c>
      <c r="F50" s="703" t="s">
        <v>1021</v>
      </c>
      <c r="G50" s="708" t="str">
        <f>IFERROR(IF(f_year="","01.01."&amp;CURRENT_YEAR,"01.01."&amp;f_year),"01.01."&amp;CURRENT_YEAR)</f>
        <v>01.01.2025</v>
      </c>
      <c r="H50" s="708" t="str">
        <f>IFERROR(IF(f_year="","31.12."&amp;CURRENT_YEAR,"31.12."&amp;f_year),"31.12."&amp;CURRENT_YEAR)</f>
        <v>31.12.2025</v>
      </c>
      <c r="I50" s="709" t="b">
        <f>IF(f_year="",TRUE,FALSE)</f>
        <v>0</v>
      </c>
      <c r="J50" s="7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AX50" s="672" t="s">
        <v>1666</v>
      </c>
      <c r="AZ50" s="672" t="s">
        <v>1403</v>
      </c>
      <c r="BE50" s="672">
        <v>2048</v>
      </c>
      <c r="BH50" s="673" t="s">
        <v>1637</v>
      </c>
      <c r="BJ50" s="686" t="s">
        <v>1039</v>
      </c>
      <c r="BL50" s="686" t="s">
        <v>1039</v>
      </c>
    </row>
    <row r="51" spans="1:64" ht="11.25" customHeight="1">
      <c r="A51" s="163" t="s">
        <v>1667</v>
      </c>
      <c r="E51" s="701" t="s">
        <v>1668</v>
      </c>
      <c r="F51" s="703" t="s">
        <v>1669</v>
      </c>
      <c r="G51" s="708" t="str">
        <f ca="1">IFERROR(IF(TITLE_PERIOD_START="","01.01."&amp;CURRENT_YEAR,"01.01."&amp;YEAR(TITLE_PERIOD_START)),"01.01."&amp;CURRENT_YEAR)</f>
        <v>01.01.2025</v>
      </c>
      <c r="H51" s="708" t="str">
        <f ca="1">IFERROR(IF(TITLE_PERIOD_END="","31.12."&amp;CURRENT_YEAR,"31.12."&amp;YEAR(TITLE_PERIOD_END)),"31.12."&amp;CURRENT_YEAR)</f>
        <v>31.12.2025</v>
      </c>
      <c r="I51" s="711" t="b">
        <f>IF(OR(TITLE_PERIOD_START="",TITLE_PERIOD_END=""),TRUE,FALSE)</f>
        <v>1</v>
      </c>
      <c r="J51" s="7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672" t="s">
        <v>1670</v>
      </c>
      <c r="AZ51" s="672" t="s">
        <v>1419</v>
      </c>
      <c r="BE51" s="672">
        <v>2049</v>
      </c>
      <c r="BH51" s="673" t="s">
        <v>1646</v>
      </c>
      <c r="BJ51" s="686" t="s">
        <v>1671</v>
      </c>
      <c r="BL51" s="686" t="s">
        <v>1671</v>
      </c>
    </row>
    <row r="52" spans="1:64" ht="11.25" customHeight="1">
      <c r="A52" s="163" t="s">
        <v>1672</v>
      </c>
      <c r="E52" s="701" t="s">
        <v>1673</v>
      </c>
      <c r="F52" s="703" t="s">
        <v>1674</v>
      </c>
      <c r="G52" s="708" t="str">
        <f ca="1">IFERROR(IF(TITLE_PERIOD_START="","01.01."&amp;CURRENT_YEAR,"01.01."&amp;YEAR(TITLE_PERIOD_START)),"01.01."&amp;CURRENT_YEAR)</f>
        <v>01.01.2025</v>
      </c>
      <c r="H52" s="708" t="str">
        <f ca="1">IFERROR(IF(TITLE_PERIOD_END="","31.12."&amp;CURRENT_YEAR,"31.12."&amp;YEAR(TITLE_PERIOD_END)),"31.12."&amp;CURRENT_YEAR)</f>
        <v>31.12.2025</v>
      </c>
      <c r="I52" s="711" t="b">
        <f>IF(OR(TITLE_PERIOD_START="",TITLE_PERIOD_END=""),TRUE,FALSE)</f>
        <v>1</v>
      </c>
      <c r="J52" s="710" t="str">
        <f>"Показатели, подлежащие раскрытию в сфере "&amp;TEMPLATE_SPHERE_RUS&amp;" (цены и тарифы)"</f>
        <v>Показатели, подлежащие раскрытию в сфере теплоснабжения (цены и тарифы)</v>
      </c>
      <c r="AX52" s="672" t="s">
        <v>1675</v>
      </c>
      <c r="AZ52" s="672" t="s">
        <v>1217</v>
      </c>
      <c r="BE52" s="672">
        <v>2050</v>
      </c>
      <c r="BH52" s="673" t="s">
        <v>1650</v>
      </c>
      <c r="BJ52" s="686" t="s">
        <v>1050</v>
      </c>
      <c r="BL52" s="686" t="s">
        <v>1050</v>
      </c>
    </row>
    <row r="53" spans="1:64" ht="11.25" customHeight="1">
      <c r="A53" s="163" t="s">
        <v>1676</v>
      </c>
      <c r="E53" s="701" t="s">
        <v>1677</v>
      </c>
      <c r="F53" s="703" t="s">
        <v>1677</v>
      </c>
      <c r="G53" s="708" t="str">
        <f>IFERROR(IF(f_year="","01.01."&amp;CURRENT_YEAR,"01.01."&amp;f_year),"01.01."&amp;CURRENT_YEAR)</f>
        <v>01.01.2025</v>
      </c>
      <c r="H53" s="708" t="str">
        <f>IFERROR(IF(f_year="","31.12."&amp;CURRENT_YEAR,"31.12."&amp;f_year),"31.12."&amp;CURRENT_YEAR)</f>
        <v>31.12.2025</v>
      </c>
      <c r="I53" s="709" t="b">
        <f>IF(AND(f_year="",TITLE_DATE_FIL=""),TRUE,FALSE)</f>
        <v>0</v>
      </c>
      <c r="J53" s="710" t="s">
        <v>1678</v>
      </c>
      <c r="AX53" s="672" t="s">
        <v>1679</v>
      </c>
      <c r="BE53" s="672">
        <v>2051</v>
      </c>
      <c r="BH53" s="673" t="s">
        <v>1653</v>
      </c>
      <c r="BJ53" s="686" t="s">
        <v>1626</v>
      </c>
      <c r="BL53" s="686" t="s">
        <v>1626</v>
      </c>
    </row>
    <row r="54" spans="1:64" ht="11.25" customHeight="1">
      <c r="A54" s="163" t="s">
        <v>1680</v>
      </c>
      <c r="AX54" s="672" t="s">
        <v>1681</v>
      </c>
      <c r="AZ54" s="652" t="s">
        <v>1682</v>
      </c>
      <c r="BE54" s="672">
        <v>2052</v>
      </c>
      <c r="BH54" s="673" t="s">
        <v>1659</v>
      </c>
      <c r="BJ54" s="686" t="s">
        <v>1630</v>
      </c>
      <c r="BL54" s="686" t="s">
        <v>1630</v>
      </c>
    </row>
    <row r="55" spans="1:64" ht="11.25" customHeight="1">
      <c r="A55" s="163" t="s">
        <v>1683</v>
      </c>
      <c r="AX55" s="672" t="s">
        <v>1684</v>
      </c>
      <c r="AZ55" s="672" t="s">
        <v>1219</v>
      </c>
      <c r="BE55" s="672">
        <v>2053</v>
      </c>
      <c r="BH55" t="s">
        <v>22</v>
      </c>
      <c r="BJ55" s="686" t="s">
        <v>1051</v>
      </c>
      <c r="BL55" s="686" t="s">
        <v>1051</v>
      </c>
    </row>
    <row r="56" spans="1:64" ht="11.25" customHeight="1">
      <c r="A56" s="163" t="s">
        <v>1685</v>
      </c>
      <c r="D56" s="712" t="s">
        <v>1686</v>
      </c>
      <c r="E56" s="685" t="s">
        <v>112</v>
      </c>
      <c r="F56" s="163" t="s">
        <v>1687</v>
      </c>
      <c r="AX56" s="672" t="s">
        <v>1688</v>
      </c>
      <c r="AZ56" s="672" t="s">
        <v>1245</v>
      </c>
      <c r="BE56" s="672">
        <v>2054</v>
      </c>
      <c r="BH56" t="s">
        <v>22</v>
      </c>
      <c r="BJ56" s="686" t="s">
        <v>1637</v>
      </c>
      <c r="BL56" s="686" t="s">
        <v>1637</v>
      </c>
    </row>
    <row r="57" spans="1:64" ht="11.25" customHeight="1">
      <c r="A57" s="163" t="s">
        <v>1689</v>
      </c>
      <c r="D57" s="712" t="s">
        <v>1690</v>
      </c>
      <c r="E57" s="685" t="s">
        <v>112</v>
      </c>
      <c r="F57" s="163" t="s">
        <v>1687</v>
      </c>
      <c r="AX57" s="672" t="s">
        <v>1691</v>
      </c>
      <c r="AZ57" s="672" t="s">
        <v>1280</v>
      </c>
      <c r="BE57" s="672">
        <v>2055</v>
      </c>
      <c r="BJ57" s="686" t="s">
        <v>1646</v>
      </c>
      <c r="BL57" s="686" t="s">
        <v>1646</v>
      </c>
    </row>
    <row r="58" spans="1:64" ht="11.25" customHeight="1">
      <c r="A58" s="163" t="s">
        <v>1692</v>
      </c>
      <c r="D58" s="712" t="s">
        <v>1693</v>
      </c>
      <c r="E58" s="685" t="s">
        <v>112</v>
      </c>
      <c r="F58" s="163" t="s">
        <v>1687</v>
      </c>
      <c r="AX58" s="672" t="s">
        <v>1694</v>
      </c>
      <c r="BE58" s="672">
        <v>2056</v>
      </c>
      <c r="BJ58" s="686" t="s">
        <v>1650</v>
      </c>
      <c r="BL58" s="686" t="s">
        <v>1650</v>
      </c>
    </row>
    <row r="59" spans="1:64" ht="11.25" customHeight="1">
      <c r="A59" s="163" t="s">
        <v>1695</v>
      </c>
      <c r="D59" s="712" t="s">
        <v>134</v>
      </c>
      <c r="E59" s="685" t="s">
        <v>1582</v>
      </c>
      <c r="F59" s="163" t="s">
        <v>1696</v>
      </c>
      <c r="AX59" s="672" t="s">
        <v>1697</v>
      </c>
      <c r="AZ59" s="652" t="s">
        <v>1698</v>
      </c>
      <c r="BE59" s="672">
        <v>2057</v>
      </c>
      <c r="BJ59" s="686" t="s">
        <v>1653</v>
      </c>
      <c r="BL59" s="686" t="s">
        <v>1653</v>
      </c>
    </row>
    <row r="60" spans="1:64" ht="11.25" customHeight="1">
      <c r="A60" s="163" t="s">
        <v>1699</v>
      </c>
      <c r="D60" s="712" t="s">
        <v>1700</v>
      </c>
      <c r="E60" s="685" t="s">
        <v>1582</v>
      </c>
      <c r="F60" s="163" t="s">
        <v>1696</v>
      </c>
      <c r="AX60" s="672" t="s">
        <v>1701</v>
      </c>
      <c r="AZ60" s="672" t="s">
        <v>1220</v>
      </c>
      <c r="BE60" s="672">
        <v>2058</v>
      </c>
      <c r="BJ60" s="686" t="s">
        <v>1659</v>
      </c>
      <c r="BL60" s="686" t="s">
        <v>1659</v>
      </c>
    </row>
    <row r="61" spans="1:64" ht="11.25" customHeight="1">
      <c r="A61" s="163" t="s">
        <v>1702</v>
      </c>
      <c r="D61" s="712" t="s">
        <v>1703</v>
      </c>
      <c r="E61" s="685" t="s">
        <v>1582</v>
      </c>
      <c r="F61" s="163" t="s">
        <v>1696</v>
      </c>
      <c r="AX61" s="672" t="s">
        <v>1704</v>
      </c>
      <c r="AZ61" s="672" t="s">
        <v>1246</v>
      </c>
      <c r="BE61" s="672">
        <v>2059</v>
      </c>
      <c r="BL61" s="686" t="s">
        <v>1043</v>
      </c>
    </row>
    <row r="62" spans="1:64" ht="11.25" customHeight="1">
      <c r="A62" s="163" t="s">
        <v>1705</v>
      </c>
      <c r="D62" s="712" t="s">
        <v>133</v>
      </c>
      <c r="E62" s="685">
        <v>30</v>
      </c>
      <c r="F62" s="163" t="s">
        <v>1696</v>
      </c>
      <c r="AZ62" s="672" t="s">
        <v>1281</v>
      </c>
      <c r="BE62" s="672">
        <v>2060</v>
      </c>
      <c r="BL62" s="686" t="s">
        <v>1045</v>
      </c>
    </row>
    <row r="63" spans="1:64" ht="11.25" customHeight="1">
      <c r="A63" s="163" t="s">
        <v>1706</v>
      </c>
      <c r="D63" s="712" t="s">
        <v>1707</v>
      </c>
      <c r="E63" s="685">
        <v>30</v>
      </c>
      <c r="F63" s="163" t="s">
        <v>1696</v>
      </c>
      <c r="AZ63" s="672" t="s">
        <v>1313</v>
      </c>
      <c r="BE63" s="672">
        <v>2061</v>
      </c>
    </row>
    <row r="64" spans="1:64" ht="11.25" customHeight="1">
      <c r="A64" s="163" t="s">
        <v>1708</v>
      </c>
      <c r="D64" s="712" t="s">
        <v>1709</v>
      </c>
      <c r="E64" s="685">
        <v>30</v>
      </c>
      <c r="F64" s="163" t="s">
        <v>1696</v>
      </c>
      <c r="AZ64" s="672" t="s">
        <v>1336</v>
      </c>
      <c r="BE64" s="672">
        <v>2062</v>
      </c>
    </row>
    <row r="65" spans="1:66" ht="11.25" customHeight="1">
      <c r="A65" s="163" t="s">
        <v>1710</v>
      </c>
      <c r="BE65" s="672">
        <v>2063</v>
      </c>
    </row>
    <row r="66" spans="1:66" ht="11.25" customHeight="1">
      <c r="A66" s="163" t="s">
        <v>1711</v>
      </c>
      <c r="AZ66" s="652" t="s">
        <v>1712</v>
      </c>
      <c r="BE66" s="672">
        <v>2064</v>
      </c>
    </row>
    <row r="67" spans="1:66" ht="11.25" customHeight="1">
      <c r="A67" s="163" t="s">
        <v>1713</v>
      </c>
      <c r="AZ67" s="672" t="s">
        <v>1221</v>
      </c>
      <c r="BE67" s="672">
        <v>2065</v>
      </c>
    </row>
    <row r="68" spans="1:66" ht="11.25" customHeight="1">
      <c r="A68" s="163" t="s">
        <v>1714</v>
      </c>
      <c r="AZ68" s="672" t="s">
        <v>1247</v>
      </c>
      <c r="BE68" s="672">
        <v>2066</v>
      </c>
      <c r="BH68" s="652" t="s">
        <v>1715</v>
      </c>
      <c r="BJ68" s="652" t="s">
        <v>1716</v>
      </c>
      <c r="BL68" s="652" t="s">
        <v>1717</v>
      </c>
      <c r="BN68" s="652" t="s">
        <v>1718</v>
      </c>
    </row>
    <row r="69" spans="1:66" ht="11.25" customHeight="1">
      <c r="A69" s="163" t="s">
        <v>1719</v>
      </c>
      <c r="AZ69" s="672" t="s">
        <v>1282</v>
      </c>
      <c r="BE69" s="672">
        <v>2067</v>
      </c>
      <c r="BH69" s="673" t="s">
        <v>1720</v>
      </c>
      <c r="BI69" s="713" t="s">
        <v>110</v>
      </c>
      <c r="BJ69" s="673" t="s">
        <v>1721</v>
      </c>
      <c r="BK69" s="713" t="s">
        <v>110</v>
      </c>
      <c r="BL69" s="673" t="s">
        <v>1722</v>
      </c>
      <c r="BM69" s="713" t="s">
        <v>110</v>
      </c>
      <c r="BN69" s="673" t="s">
        <v>1723</v>
      </c>
    </row>
    <row r="70" spans="1:66" ht="11.25" customHeight="1">
      <c r="A70" s="163" t="s">
        <v>1724</v>
      </c>
      <c r="AZ70" s="672" t="s">
        <v>1314</v>
      </c>
      <c r="BE70" s="672">
        <v>2068</v>
      </c>
      <c r="BH70" s="673" t="s">
        <v>1725</v>
      </c>
      <c r="BJ70" s="673" t="s">
        <v>1726</v>
      </c>
      <c r="BL70" s="673" t="s">
        <v>1727</v>
      </c>
      <c r="BN70" s="673" t="s">
        <v>1728</v>
      </c>
    </row>
    <row r="71" spans="1:66" ht="11.25" customHeight="1">
      <c r="A71" s="163" t="s">
        <v>1729</v>
      </c>
      <c r="AZ71" s="672" t="s">
        <v>1316</v>
      </c>
      <c r="BE71" s="672">
        <v>2069</v>
      </c>
      <c r="BH71" s="673" t="s">
        <v>1730</v>
      </c>
      <c r="BI71" s="713" t="s">
        <v>90</v>
      </c>
      <c r="BJ71" s="673" t="s">
        <v>1731</v>
      </c>
      <c r="BK71" s="713" t="s">
        <v>90</v>
      </c>
      <c r="BL71" s="673" t="s">
        <v>1732</v>
      </c>
      <c r="BM71" s="713" t="s">
        <v>90</v>
      </c>
      <c r="BN71" s="673" t="s">
        <v>1733</v>
      </c>
    </row>
    <row r="72" spans="1:66" ht="11.25" customHeight="1">
      <c r="A72" s="163" t="s">
        <v>1734</v>
      </c>
      <c r="AZ72" s="672" t="s">
        <v>19</v>
      </c>
      <c r="BE72" s="672">
        <v>2070</v>
      </c>
      <c r="BH72" s="673" t="s">
        <v>1735</v>
      </c>
      <c r="BJ72" s="673" t="s">
        <v>1735</v>
      </c>
      <c r="BL72" s="673" t="s">
        <v>1735</v>
      </c>
      <c r="BN72" s="673" t="s">
        <v>1736</v>
      </c>
    </row>
    <row r="73" spans="1:66" ht="11.25" customHeight="1">
      <c r="A73" s="163" t="s">
        <v>1737</v>
      </c>
      <c r="BH73" s="673" t="s">
        <v>1738</v>
      </c>
      <c r="BI73" s="713" t="s">
        <v>112</v>
      </c>
      <c r="BJ73" s="673" t="s">
        <v>1739</v>
      </c>
      <c r="BK73" s="713" t="s">
        <v>112</v>
      </c>
      <c r="BL73" s="673" t="s">
        <v>1740</v>
      </c>
      <c r="BM73" s="713" t="s">
        <v>112</v>
      </c>
      <c r="BN73" s="673" t="s">
        <v>1741</v>
      </c>
    </row>
    <row r="74" spans="1:66" ht="11.25" customHeight="1">
      <c r="A74" s="163" t="s">
        <v>1742</v>
      </c>
      <c r="BH74" s="673" t="s">
        <v>1743</v>
      </c>
      <c r="BJ74" s="673" t="s">
        <v>1744</v>
      </c>
      <c r="BL74" s="673" t="s">
        <v>1745</v>
      </c>
      <c r="BN74" s="673" t="s">
        <v>1746</v>
      </c>
    </row>
    <row r="75" spans="1:66" ht="11.25" customHeight="1">
      <c r="A75" s="163" t="s">
        <v>1747</v>
      </c>
      <c r="AZ75" s="652" t="s">
        <v>1748</v>
      </c>
      <c r="BH75" s="673" t="s">
        <v>1749</v>
      </c>
      <c r="BJ75" s="673" t="s">
        <v>1749</v>
      </c>
      <c r="BL75" s="673" t="s">
        <v>1749</v>
      </c>
    </row>
    <row r="76" spans="1:66" ht="11.25" customHeight="1">
      <c r="A76" s="163" t="s">
        <v>1750</v>
      </c>
      <c r="AZ76" s="672" t="s">
        <v>1230</v>
      </c>
      <c r="BH76" s="673" t="s">
        <v>1751</v>
      </c>
      <c r="BJ76" s="673" t="s">
        <v>1752</v>
      </c>
      <c r="BL76" s="673" t="s">
        <v>1753</v>
      </c>
    </row>
    <row r="77" spans="1:66" ht="11.25" customHeight="1">
      <c r="A77" s="163" t="s">
        <v>1754</v>
      </c>
      <c r="AZ77" s="672" t="s">
        <v>1257</v>
      </c>
    </row>
    <row r="78" spans="1:66" ht="11.25" customHeight="1">
      <c r="A78" s="163" t="s">
        <v>1755</v>
      </c>
      <c r="AZ78" s="672" t="s">
        <v>1289</v>
      </c>
    </row>
    <row r="79" spans="1:66" ht="11.25" customHeight="1">
      <c r="A79" s="163" t="s">
        <v>1756</v>
      </c>
      <c r="AZ79" s="672" t="s">
        <v>1320</v>
      </c>
      <c r="BH79" s="652" t="s">
        <v>1757</v>
      </c>
      <c r="BJ79" s="652" t="s">
        <v>1758</v>
      </c>
      <c r="BL79" s="652" t="s">
        <v>1759</v>
      </c>
    </row>
    <row r="80" spans="1:66" ht="11.25" customHeight="1">
      <c r="A80" s="163" t="s">
        <v>1760</v>
      </c>
      <c r="AZ80" s="672" t="s">
        <v>1341</v>
      </c>
      <c r="BH80" s="673" t="s">
        <v>1761</v>
      </c>
      <c r="BJ80" s="673" t="s">
        <v>1762</v>
      </c>
      <c r="BL80" s="673" t="s">
        <v>1763</v>
      </c>
    </row>
    <row r="81" spans="1:66" ht="11.25" customHeight="1">
      <c r="A81" s="163" t="s">
        <v>1764</v>
      </c>
      <c r="AZ81" s="672" t="s">
        <v>1358</v>
      </c>
      <c r="BH81" s="673" t="s">
        <v>1765</v>
      </c>
      <c r="BJ81" s="673" t="s">
        <v>1766</v>
      </c>
      <c r="BL81" s="673" t="s">
        <v>1767</v>
      </c>
    </row>
    <row r="82" spans="1:66" ht="11.25" customHeight="1">
      <c r="A82" s="163" t="s">
        <v>1768</v>
      </c>
      <c r="AZ82" s="672" t="s">
        <v>1373</v>
      </c>
      <c r="BH82" s="673" t="s">
        <v>1769</v>
      </c>
      <c r="BJ82" s="673" t="s">
        <v>1770</v>
      </c>
      <c r="BL82" s="673" t="s">
        <v>1771</v>
      </c>
    </row>
    <row r="83" spans="1:66" ht="11.25" customHeight="1">
      <c r="A83" s="163" t="s">
        <v>1772</v>
      </c>
      <c r="BH83" s="673" t="s">
        <v>1773</v>
      </c>
      <c r="BJ83" s="673" t="s">
        <v>1774</v>
      </c>
      <c r="BL83" s="673" t="s">
        <v>1775</v>
      </c>
    </row>
    <row r="84" spans="1:66" ht="11.25" customHeight="1">
      <c r="A84" s="163" t="s">
        <v>1776</v>
      </c>
      <c r="AZ84" s="652" t="s">
        <v>1777</v>
      </c>
    </row>
    <row r="85" spans="1:66" ht="11.25" customHeight="1">
      <c r="A85" s="689" t="s">
        <v>1778</v>
      </c>
      <c r="AZ85" s="672" t="s">
        <v>1779</v>
      </c>
    </row>
    <row r="86" spans="1:66" ht="11.25" customHeight="1">
      <c r="A86" s="163" t="s">
        <v>1780</v>
      </c>
      <c r="AZ86" s="672" t="s">
        <v>1781</v>
      </c>
      <c r="BH86" s="652" t="s">
        <v>1782</v>
      </c>
      <c r="BJ86" s="652" t="s">
        <v>1783</v>
      </c>
      <c r="BL86" s="652" t="s">
        <v>1784</v>
      </c>
    </row>
    <row r="87" spans="1:66" ht="11.25" customHeight="1">
      <c r="A87" s="163" t="s">
        <v>1785</v>
      </c>
      <c r="AZ87" s="672" t="s">
        <v>1786</v>
      </c>
      <c r="BH87" s="673" t="s">
        <v>1787</v>
      </c>
      <c r="BJ87" s="673" t="s">
        <v>1788</v>
      </c>
      <c r="BL87" s="673" t="s">
        <v>1789</v>
      </c>
    </row>
    <row r="88" spans="1:66" ht="11.25" customHeight="1">
      <c r="A88" s="163" t="s">
        <v>1790</v>
      </c>
      <c r="BH88" s="673" t="s">
        <v>1791</v>
      </c>
      <c r="BJ88" s="673" t="s">
        <v>1792</v>
      </c>
      <c r="BL88" s="673" t="s">
        <v>1793</v>
      </c>
    </row>
    <row r="89" spans="1:66" ht="11.25" customHeight="1">
      <c r="A89" s="163" t="s">
        <v>1794</v>
      </c>
      <c r="AZ89" s="652" t="s">
        <v>1795</v>
      </c>
    </row>
    <row r="90" spans="1:66" ht="11.25" customHeight="1">
      <c r="A90" s="163" t="s">
        <v>1796</v>
      </c>
      <c r="AZ90" s="672" t="s">
        <v>1021</v>
      </c>
    </row>
    <row r="91" spans="1:66" ht="11.25" customHeight="1">
      <c r="A91" s="163" t="s">
        <v>1797</v>
      </c>
      <c r="AZ91" s="672" t="s">
        <v>1057</v>
      </c>
      <c r="BH91" s="652" t="s">
        <v>1798</v>
      </c>
      <c r="BJ91" s="652" t="s">
        <v>1799</v>
      </c>
      <c r="BL91" s="652" t="s">
        <v>1800</v>
      </c>
    </row>
    <row r="92" spans="1:66" ht="11.25" customHeight="1">
      <c r="AZ92" s="672" t="s">
        <v>1801</v>
      </c>
      <c r="BH92" s="673" t="s">
        <v>1802</v>
      </c>
      <c r="BJ92" s="673" t="s">
        <v>1803</v>
      </c>
      <c r="BL92" s="673" t="s">
        <v>1804</v>
      </c>
    </row>
    <row r="93" spans="1:66" ht="11.25" customHeight="1">
      <c r="AZ93" s="672" t="s">
        <v>1805</v>
      </c>
      <c r="BH93" s="673" t="s">
        <v>1806</v>
      </c>
      <c r="BJ93" s="673" t="s">
        <v>1807</v>
      </c>
      <c r="BL93" s="673" t="s">
        <v>1808</v>
      </c>
    </row>
    <row r="94" spans="1:66" ht="11.25" customHeight="1">
      <c r="AZ94" s="672" t="s">
        <v>1809</v>
      </c>
    </row>
    <row r="96" spans="1:66" ht="11.25" customHeight="1">
      <c r="AZ96" s="652" t="s">
        <v>1810</v>
      </c>
      <c r="BH96" s="652" t="s">
        <v>1811</v>
      </c>
      <c r="BJ96" s="652" t="s">
        <v>1812</v>
      </c>
      <c r="BL96" s="652" t="s">
        <v>1813</v>
      </c>
      <c r="BN96" s="652" t="s">
        <v>1814</v>
      </c>
    </row>
    <row r="97" spans="52:66" ht="11.25" customHeight="1">
      <c r="AZ97" s="714" t="s">
        <v>1815</v>
      </c>
      <c r="BA97" s="544" t="s">
        <v>1816</v>
      </c>
      <c r="BH97" s="673" t="s">
        <v>1817</v>
      </c>
      <c r="BJ97" s="673" t="s">
        <v>1818</v>
      </c>
      <c r="BL97" s="673" t="s">
        <v>1819</v>
      </c>
      <c r="BN97" s="673" t="s">
        <v>1820</v>
      </c>
    </row>
    <row r="98" spans="52:66" ht="11.25" customHeight="1">
      <c r="AZ98" s="714" t="s">
        <v>1821</v>
      </c>
      <c r="BA98" s="544" t="s">
        <v>1822</v>
      </c>
      <c r="BH98" s="673" t="s">
        <v>1823</v>
      </c>
      <c r="BJ98" s="673" t="s">
        <v>1824</v>
      </c>
      <c r="BL98" s="673" t="s">
        <v>1825</v>
      </c>
      <c r="BN98" s="673" t="s">
        <v>1826</v>
      </c>
    </row>
    <row r="99" spans="52:66" ht="22.5" customHeight="1">
      <c r="AZ99" s="714" t="s">
        <v>1827</v>
      </c>
      <c r="BA99" s="544" t="str">
        <f>"не позднее чем за "&amp;IF(TEMPLATE_SPHERE="TKO","3","10")&amp;" дней до дня проведения заседания правления"</f>
        <v>не позднее чем за 10 дней до дня проведения заседания правления</v>
      </c>
      <c r="BH99" s="673" t="s">
        <v>1828</v>
      </c>
      <c r="BJ99" s="673" t="s">
        <v>1829</v>
      </c>
      <c r="BL99" s="673" t="s">
        <v>1830</v>
      </c>
      <c r="BN99" s="673" t="s">
        <v>1831</v>
      </c>
    </row>
    <row r="100" spans="52:66" ht="22.5" customHeight="1">
      <c r="AZ100" s="714" t="s">
        <v>1832</v>
      </c>
      <c r="BA100" s="54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73" t="s">
        <v>1419</v>
      </c>
      <c r="BL100" s="673" t="s">
        <v>1419</v>
      </c>
      <c r="BN100" s="673" t="s">
        <v>1833</v>
      </c>
    </row>
    <row r="101" spans="52:66" ht="22.5" customHeight="1">
      <c r="AZ101" s="714" t="s">
        <v>1834</v>
      </c>
      <c r="BA101" s="544" t="s">
        <v>1835</v>
      </c>
      <c r="BN101" s="673" t="s">
        <v>1836</v>
      </c>
    </row>
    <row r="102" spans="52:66" ht="22.5" customHeight="1">
      <c r="AZ102" s="714" t="s">
        <v>1837</v>
      </c>
      <c r="BA102" s="54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73" t="s">
        <v>1838</v>
      </c>
    </row>
    <row r="103" spans="52:66" ht="11.25" customHeight="1">
      <c r="AZ103" s="714" t="s">
        <v>1839</v>
      </c>
      <c r="BA103" s="544" t="s">
        <v>1840</v>
      </c>
      <c r="BN103" s="673" t="s">
        <v>1841</v>
      </c>
    </row>
    <row r="104" spans="52:66" ht="11.25" customHeight="1">
      <c r="BN104" s="673" t="s">
        <v>1842</v>
      </c>
    </row>
    <row r="105" spans="52:66" ht="11.25" customHeight="1">
      <c r="AZ105" s="652" t="s">
        <v>1843</v>
      </c>
    </row>
    <row r="106" spans="52:66" ht="11.25" customHeight="1">
      <c r="AZ106" s="672" t="s">
        <v>1844</v>
      </c>
    </row>
    <row r="107" spans="52:66" ht="11.25" customHeight="1">
      <c r="AZ107" s="672" t="s">
        <v>1845</v>
      </c>
      <c r="BH107" s="652" t="s">
        <v>1846</v>
      </c>
      <c r="BJ107" s="652" t="s">
        <v>1847</v>
      </c>
      <c r="BL107" s="652" t="s">
        <v>1848</v>
      </c>
      <c r="BN107" s="652" t="s">
        <v>1849</v>
      </c>
    </row>
    <row r="108" spans="52:66" ht="11.25" customHeight="1">
      <c r="AZ108" s="672" t="s">
        <v>572</v>
      </c>
      <c r="BH108" s="673" t="s">
        <v>1850</v>
      </c>
      <c r="BJ108" s="673" t="s">
        <v>1851</v>
      </c>
      <c r="BL108" s="673" t="s">
        <v>1504</v>
      </c>
      <c r="BN108" s="673" t="s">
        <v>1852</v>
      </c>
    </row>
    <row r="109" spans="52:66" ht="11.25" customHeight="1">
      <c r="BH109" s="673" t="s">
        <v>1853</v>
      </c>
    </row>
    <row r="110" spans="52:66" ht="11.25" customHeight="1">
      <c r="AZ110" s="652" t="s">
        <v>1854</v>
      </c>
      <c r="BH110" s="673" t="s">
        <v>1853</v>
      </c>
    </row>
    <row r="111" spans="52:66" ht="11.25" customHeight="1">
      <c r="AZ111" s="714" t="s">
        <v>1815</v>
      </c>
      <c r="BA111" s="544" t="s">
        <v>1816</v>
      </c>
    </row>
    <row r="112" spans="52:66" ht="11.25" customHeight="1">
      <c r="AZ112" s="714" t="s">
        <v>1821</v>
      </c>
      <c r="BA112" s="544" t="s">
        <v>1822</v>
      </c>
    </row>
    <row r="113" spans="52:60" ht="22.5" customHeight="1">
      <c r="AZ113" s="714" t="s">
        <v>1827</v>
      </c>
      <c r="BA113" s="54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714" t="s">
        <v>1832</v>
      </c>
      <c r="BA114" s="54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52" t="s">
        <v>1855</v>
      </c>
    </row>
    <row r="115" spans="52:60" ht="22.5" customHeight="1">
      <c r="AZ115" s="714" t="s">
        <v>1837</v>
      </c>
      <c r="BA115" s="54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73" t="s">
        <v>1217</v>
      </c>
    </row>
    <row r="116" spans="52:60" ht="11.25" customHeight="1">
      <c r="AZ116" s="714" t="s">
        <v>1839</v>
      </c>
      <c r="BA116" s="544" t="s">
        <v>1840</v>
      </c>
      <c r="BH116" s="673" t="s">
        <v>1243</v>
      </c>
    </row>
    <row r="117" spans="52:60" ht="11.25" customHeight="1">
      <c r="BH117" s="673" t="s">
        <v>1278</v>
      </c>
    </row>
    <row r="118" spans="52:60" ht="11.25" customHeight="1">
      <c r="BH118" s="673"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EF7E8-5973-3EF7-7595-9322D6576844}">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hidden="1" customWidth="1"/>
    <col min="3" max="3" width="3" customWidth="1"/>
    <col min="4" max="4" width="6" customWidth="1"/>
    <col min="5" max="5" width="52" customWidth="1"/>
    <col min="6" max="6" width="48" customWidth="1"/>
    <col min="7" max="7" width="93" customWidth="1"/>
    <col min="8" max="8" width="8" customWidth="1"/>
    <col min="9" max="9" width="64" customWidth="1"/>
    <col min="10" max="10" width="9.140625" hidden="1"/>
  </cols>
  <sheetData>
    <row r="1" spans="1:10" ht="11.25" hidden="1" customHeight="1">
      <c r="A1" s="181" t="s">
        <v>300</v>
      </c>
      <c r="J1" s="180" t="s">
        <v>14</v>
      </c>
    </row>
    <row r="2" spans="1:10" ht="22.5" hidden="1" customHeight="1">
      <c r="A2" s="185"/>
      <c r="B2" s="185"/>
      <c r="C2" s="526" t="s">
        <v>690</v>
      </c>
      <c r="D2" s="715"/>
      <c r="E2" s="273"/>
      <c r="F2" s="420"/>
      <c r="H2" s="194"/>
      <c r="J2" s="180">
        <v>0</v>
      </c>
    </row>
    <row r="3" spans="1:10" ht="11.25" hidden="1" customHeight="1">
      <c r="J3" s="180">
        <v>0</v>
      </c>
    </row>
    <row r="4" spans="1:10" ht="11.45" customHeight="1">
      <c r="A4" s="716"/>
      <c r="B4" s="716"/>
      <c r="J4" s="180">
        <v>11</v>
      </c>
    </row>
    <row r="5" spans="1:10" ht="27.4" customHeight="1">
      <c r="D5" s="9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989"/>
      <c r="F5" s="990"/>
      <c r="J5" s="180">
        <v>26</v>
      </c>
    </row>
    <row r="6" spans="1:10" ht="18" customHeight="1">
      <c r="D6" s="1066" t="str">
        <f>IF(region_name=0,"Не определено",region_name)</f>
        <v>г. Москва</v>
      </c>
      <c r="E6" s="1066"/>
      <c r="F6" s="1066"/>
      <c r="J6" s="180">
        <v>17</v>
      </c>
    </row>
    <row r="7" spans="1:10" ht="11.45" customHeight="1">
      <c r="A7" s="181"/>
      <c r="B7" s="181"/>
      <c r="F7" s="184"/>
      <c r="J7" s="183">
        <v>11</v>
      </c>
    </row>
    <row r="8" spans="1:10" ht="11.25" hidden="1" customHeight="1">
      <c r="A8" s="185"/>
      <c r="B8" s="185"/>
      <c r="C8" s="38"/>
      <c r="D8" s="31"/>
      <c r="E8" s="1071"/>
      <c r="F8" s="1071"/>
      <c r="J8" s="180">
        <v>0</v>
      </c>
    </row>
    <row r="9" spans="1:10" ht="11.45" customHeight="1">
      <c r="A9" s="185"/>
      <c r="B9" s="185"/>
      <c r="C9" s="38"/>
      <c r="D9" s="1068" t="s">
        <v>301</v>
      </c>
      <c r="E9" s="1069"/>
      <c r="F9" s="1069"/>
      <c r="G9" s="1072" t="s">
        <v>302</v>
      </c>
      <c r="J9" s="180">
        <v>11</v>
      </c>
    </row>
    <row r="10" spans="1:10" ht="11.45" customHeight="1">
      <c r="A10" s="185"/>
      <c r="B10" s="185"/>
      <c r="C10" s="38"/>
      <c r="D10" s="187" t="s">
        <v>88</v>
      </c>
      <c r="E10" s="188" t="s">
        <v>303</v>
      </c>
      <c r="F10" s="188" t="s">
        <v>304</v>
      </c>
      <c r="G10" s="1073"/>
      <c r="J10" s="180">
        <v>11</v>
      </c>
    </row>
    <row r="11" spans="1:10" ht="1.1499999999999999" customHeight="1">
      <c r="A11" s="185"/>
      <c r="B11" s="185"/>
      <c r="C11" s="38"/>
      <c r="D11" s="190"/>
      <c r="E11" s="190"/>
      <c r="F11" s="190"/>
      <c r="G11" s="190"/>
      <c r="J11" s="180">
        <v>1</v>
      </c>
    </row>
    <row r="12" spans="1:10" ht="24" customHeight="1">
      <c r="A12" s="185"/>
      <c r="B12" s="185"/>
      <c r="C12" s="38"/>
      <c r="D12" s="715">
        <v>1</v>
      </c>
      <c r="E12" s="1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375" t="str">
        <f>IF(org="","",org)</f>
        <v>ООО "ТВС"</v>
      </c>
      <c r="G12" s="1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717"/>
      <c r="J12" s="180">
        <v>23</v>
      </c>
    </row>
    <row r="13" spans="1:10" ht="19.899999999999999" customHeight="1">
      <c r="A13" s="185"/>
      <c r="B13" s="185"/>
      <c r="C13" s="38"/>
      <c r="D13" s="715">
        <v>2</v>
      </c>
      <c r="E13" s="295" t="s">
        <v>1856</v>
      </c>
      <c r="F13" s="88" t="s">
        <v>307</v>
      </c>
      <c r="G13" s="197"/>
      <c r="H13" s="717"/>
      <c r="J13" s="180">
        <v>19</v>
      </c>
    </row>
    <row r="14" spans="1:10" ht="19.899999999999999" customHeight="1">
      <c r="A14" s="185"/>
      <c r="B14" s="185"/>
      <c r="C14" s="38"/>
      <c r="D14" s="164" t="s">
        <v>710</v>
      </c>
      <c r="E14" s="421" t="s">
        <v>1857</v>
      </c>
      <c r="F14" s="273"/>
      <c r="G14" s="296" t="s">
        <v>1858</v>
      </c>
      <c r="H14" s="717"/>
      <c r="J14" s="180">
        <v>19</v>
      </c>
    </row>
    <row r="15" spans="1:10" ht="19.899999999999999" customHeight="1">
      <c r="A15" s="185"/>
      <c r="B15" s="185"/>
      <c r="C15" s="38"/>
      <c r="D15" s="164" t="s">
        <v>308</v>
      </c>
      <c r="E15" s="421" t="s">
        <v>1859</v>
      </c>
      <c r="F15" s="273"/>
      <c r="G15" s="296" t="s">
        <v>1860</v>
      </c>
      <c r="H15" s="717"/>
      <c r="J15" s="180">
        <v>19</v>
      </c>
    </row>
    <row r="16" spans="1:10" ht="24" customHeight="1">
      <c r="A16" s="185"/>
      <c r="B16" s="185"/>
      <c r="C16" s="38"/>
      <c r="D16" s="164" t="s">
        <v>311</v>
      </c>
      <c r="E16" s="302" t="s">
        <v>1861</v>
      </c>
      <c r="F16" s="225"/>
      <c r="G16" s="197" t="s">
        <v>1862</v>
      </c>
      <c r="H16" s="717"/>
      <c r="J16" s="180">
        <v>23</v>
      </c>
    </row>
    <row r="17" spans="1:10" ht="48.2" customHeight="1">
      <c r="A17" s="185"/>
      <c r="B17" s="185"/>
      <c r="C17" s="38"/>
      <c r="D17" s="715">
        <v>3</v>
      </c>
      <c r="E17" s="295" t="s">
        <v>1863</v>
      </c>
      <c r="F17" s="273"/>
      <c r="G17" s="197" t="s">
        <v>1864</v>
      </c>
      <c r="H17" s="717"/>
      <c r="J17" s="180">
        <v>46</v>
      </c>
    </row>
    <row r="18" spans="1:10" ht="48.2" customHeight="1">
      <c r="A18" s="718">
        <v>1</v>
      </c>
      <c r="B18" s="185"/>
      <c r="C18" s="202"/>
      <c r="D18" s="715" t="s">
        <v>91</v>
      </c>
      <c r="E18" s="295" t="s">
        <v>1865</v>
      </c>
      <c r="F18" s="273"/>
      <c r="G18" s="197" t="s">
        <v>1864</v>
      </c>
      <c r="H18" s="717"/>
      <c r="J18" s="180">
        <v>46</v>
      </c>
    </row>
    <row r="19" spans="1:10" ht="23.25" customHeight="1">
      <c r="A19" s="185"/>
      <c r="B19" s="185"/>
      <c r="C19" s="38"/>
      <c r="D19" s="715" t="s">
        <v>112</v>
      </c>
      <c r="E19" s="295" t="s">
        <v>1866</v>
      </c>
      <c r="F19" s="88" t="s">
        <v>307</v>
      </c>
      <c r="G19" s="1271" t="s">
        <v>1867</v>
      </c>
      <c r="H19" s="194"/>
      <c r="J19" s="180">
        <v>22</v>
      </c>
    </row>
    <row r="20" spans="1:10" ht="5.25" hidden="1" customHeight="1">
      <c r="A20" s="185"/>
      <c r="B20" s="185"/>
      <c r="C20" s="719"/>
      <c r="D20" s="720" t="s">
        <v>1118</v>
      </c>
      <c r="E20" s="214"/>
      <c r="F20" s="89"/>
      <c r="G20" s="1272"/>
      <c r="J20" s="721">
        <v>0</v>
      </c>
    </row>
    <row r="21" spans="1:10" ht="15.75" customHeight="1">
      <c r="A21" s="185"/>
      <c r="B21" s="185"/>
      <c r="C21" s="38"/>
      <c r="D21" s="208"/>
      <c r="E21" s="100" t="s">
        <v>340</v>
      </c>
      <c r="F21" s="210"/>
      <c r="G21" s="1273"/>
      <c r="H21" s="717"/>
      <c r="J21" s="180">
        <v>15</v>
      </c>
    </row>
    <row r="22" spans="1:10" ht="26.25" customHeight="1">
      <c r="A22" s="185"/>
      <c r="B22" s="185"/>
      <c r="C22" s="185"/>
      <c r="D22" s="715" t="s">
        <v>92</v>
      </c>
      <c r="E22" s="197" t="s">
        <v>1868</v>
      </c>
      <c r="F22" s="273"/>
      <c r="G22" s="197" t="s">
        <v>1869</v>
      </c>
      <c r="H22" s="722"/>
      <c r="J22" s="181">
        <v>25</v>
      </c>
    </row>
    <row r="23" spans="1:10" ht="19.899999999999999" customHeight="1">
      <c r="A23" s="185"/>
      <c r="B23" s="185"/>
      <c r="C23" s="185"/>
      <c r="D23" s="715" t="s">
        <v>93</v>
      </c>
      <c r="E23" s="295" t="s">
        <v>1870</v>
      </c>
      <c r="F23" s="225"/>
      <c r="G23" s="197" t="s">
        <v>1871</v>
      </c>
      <c r="H23" s="722"/>
      <c r="J23" s="181">
        <v>19</v>
      </c>
    </row>
    <row r="24" spans="1:10" ht="144" hidden="1" customHeight="1">
      <c r="A24" s="185"/>
      <c r="B24" s="185"/>
      <c r="C24" s="185"/>
      <c r="D24" s="715" t="s">
        <v>113</v>
      </c>
      <c r="E24" s="7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724"/>
      <c r="G24" s="7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722"/>
      <c r="J24" s="181">
        <v>0</v>
      </c>
    </row>
    <row r="25" spans="1:10" ht="11.25" hidden="1" customHeight="1">
      <c r="A25" s="181" t="s">
        <v>82</v>
      </c>
      <c r="B25" s="181">
        <v>0</v>
      </c>
      <c r="C25" s="180">
        <v>3</v>
      </c>
      <c r="D25" s="239">
        <v>6</v>
      </c>
      <c r="E25" s="180">
        <v>52</v>
      </c>
      <c r="F25" s="180">
        <v>48</v>
      </c>
      <c r="G25" s="180">
        <v>93</v>
      </c>
      <c r="H25" s="180">
        <v>8</v>
      </c>
      <c r="I25" s="180">
        <v>64</v>
      </c>
      <c r="J25" s="18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D84B-F198-3861-2E74-CE82AD2D87D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2" width="9.140625" hidden="1"/>
    <col min="3" max="3" width="3.7109375" hidden="1" customWidth="1"/>
    <col min="4" max="4" width="3" customWidth="1"/>
    <col min="5" max="5" width="6" customWidth="1"/>
    <col min="6" max="6" width="46" customWidth="1"/>
    <col min="7" max="8" width="16" customWidth="1"/>
    <col min="9" max="9" width="35" customWidth="1"/>
    <col min="10" max="10" width="89" customWidth="1"/>
    <col min="11" max="11" width="3" customWidth="1"/>
    <col min="12" max="14" width="8" customWidth="1"/>
    <col min="15" max="15" width="25" customWidth="1"/>
    <col min="16" max="16" width="14" customWidth="1"/>
    <col min="17" max="254" width="8" customWidth="1"/>
    <col min="255" max="255" width="9.140625" hidden="1"/>
  </cols>
  <sheetData>
    <row r="1" spans="2:255" ht="22.5" hidden="1" customHeight="1">
      <c r="F1" s="17" t="s">
        <v>1872</v>
      </c>
      <c r="G1" s="17" t="s">
        <v>48</v>
      </c>
      <c r="H1" s="17" t="s">
        <v>50</v>
      </c>
      <c r="IU1" s="17" t="s">
        <v>14</v>
      </c>
    </row>
    <row r="2" spans="2:255" ht="22.5" hidden="1" customHeight="1">
      <c r="B2" s="37">
        <v>1</v>
      </c>
      <c r="D2" s="588" t="s">
        <v>690</v>
      </c>
      <c r="E2" s="88"/>
      <c r="F2" s="226"/>
      <c r="G2" s="226"/>
      <c r="H2" s="226"/>
      <c r="I2" s="726"/>
      <c r="J2" s="727"/>
      <c r="N2" s="87" t="str">
        <f t="array" ref="N2">IF(ISERROR(MATCH(MID(O2,1,250),MID(note_ter,1,250),0)),"n","y")</f>
        <v>n</v>
      </c>
      <c r="P2" s="87" t="str">
        <f>G2&amp;"("&amp;J2&amp;")"</f>
        <v>()</v>
      </c>
      <c r="IU2" s="97">
        <v>0</v>
      </c>
    </row>
    <row r="3" spans="2:255" ht="4.1500000000000004" customHeight="1">
      <c r="F3" s="72" t="s">
        <v>83</v>
      </c>
      <c r="G3" s="73" t="s">
        <v>84</v>
      </c>
      <c r="J3" s="74" t="s">
        <v>85</v>
      </c>
      <c r="K3" s="72" t="s">
        <v>83</v>
      </c>
      <c r="IU3" s="75">
        <v>4</v>
      </c>
    </row>
    <row r="4" spans="2:255" ht="14.65" customHeight="1">
      <c r="IU4" s="77">
        <v>14</v>
      </c>
    </row>
    <row r="5" spans="2:255" ht="27.4" customHeight="1">
      <c r="E5" s="9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981"/>
      <c r="G5" s="981"/>
      <c r="H5" s="981"/>
      <c r="I5" s="981"/>
      <c r="J5" s="981"/>
      <c r="IU5" s="77">
        <v>26</v>
      </c>
    </row>
    <row r="6" spans="2:255" ht="14.65" customHeight="1">
      <c r="IU6" s="77">
        <v>14</v>
      </c>
    </row>
    <row r="7" spans="2:255" ht="14.65" customHeight="1">
      <c r="E7" s="977" t="s">
        <v>301</v>
      </c>
      <c r="F7" s="982"/>
      <c r="G7" s="982"/>
      <c r="H7" s="982"/>
      <c r="I7" s="982"/>
      <c r="J7" s="1274" t="s">
        <v>302</v>
      </c>
      <c r="IU7" s="77">
        <v>14</v>
      </c>
    </row>
    <row r="8" spans="2:255" ht="21" customHeight="1">
      <c r="E8" s="728" t="s">
        <v>88</v>
      </c>
      <c r="F8" s="729" t="s">
        <v>1872</v>
      </c>
      <c r="G8" s="729" t="s">
        <v>48</v>
      </c>
      <c r="H8" s="729" t="s">
        <v>50</v>
      </c>
      <c r="I8" s="729" t="s">
        <v>1873</v>
      </c>
      <c r="J8" s="1275"/>
      <c r="IU8" s="77">
        <v>20</v>
      </c>
    </row>
    <row r="9" spans="2:255" ht="23.25" customHeight="1">
      <c r="B9" s="37">
        <v>1</v>
      </c>
      <c r="E9" s="88">
        <v>1</v>
      </c>
      <c r="F9" s="730"/>
      <c r="G9" s="226"/>
      <c r="H9" s="226"/>
      <c r="I9" s="731"/>
      <c r="J9" s="103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87" t="str">
        <f t="array" ref="N9">IF(ISERROR(MATCH(MID(O9,1,250),MID(note_ter,1,250),0)),"n","y")</f>
        <v>n</v>
      </c>
      <c r="P9" s="8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97">
        <v>22</v>
      </c>
    </row>
    <row r="10" spans="2:255" ht="15.75" customHeight="1">
      <c r="E10" s="732"/>
      <c r="F10" s="437" t="s">
        <v>1874</v>
      </c>
      <c r="G10" s="733"/>
      <c r="H10" s="733"/>
      <c r="I10" s="734"/>
      <c r="J10" s="1033"/>
      <c r="IU10" s="97">
        <v>15</v>
      </c>
    </row>
    <row r="11" spans="2:255" ht="21.95" customHeight="1">
      <c r="E11" s="107"/>
      <c r="F11" s="107"/>
      <c r="G11" s="107"/>
      <c r="H11" s="107"/>
      <c r="I11" s="107"/>
      <c r="J11" s="107"/>
      <c r="IU11" s="77">
        <v>21</v>
      </c>
    </row>
    <row r="12" spans="2:255" ht="14.65" customHeight="1">
      <c r="IU12" s="77">
        <v>14</v>
      </c>
    </row>
    <row r="13" spans="2:255" ht="1.1499999999999999" customHeight="1">
      <c r="IU13" s="77">
        <v>1</v>
      </c>
    </row>
    <row r="14" spans="2:255" ht="10.5" customHeight="1">
      <c r="IU14" s="108">
        <v>10</v>
      </c>
    </row>
    <row r="15" spans="2:255" ht="10.5" customHeight="1">
      <c r="IU15" s="108">
        <v>10</v>
      </c>
    </row>
    <row r="16" spans="2:255" ht="14.65" customHeight="1">
      <c r="IU16" s="17">
        <v>14</v>
      </c>
    </row>
    <row r="17" spans="1:255" ht="14.65" customHeight="1">
      <c r="IU17" s="17">
        <v>14</v>
      </c>
    </row>
    <row r="18" spans="1:255" ht="14.65" customHeight="1">
      <c r="IU18" s="17">
        <v>14</v>
      </c>
    </row>
    <row r="19" spans="1:255" ht="14.65" customHeight="1">
      <c r="IU19" s="17">
        <v>14</v>
      </c>
    </row>
    <row r="20" spans="1:255" ht="14.65" customHeight="1">
      <c r="IU20" s="17">
        <v>14</v>
      </c>
    </row>
    <row r="21" spans="1:255" ht="14.65" customHeight="1">
      <c r="IU21" s="17">
        <v>14</v>
      </c>
    </row>
    <row r="22" spans="1:255" ht="14.65" customHeight="1">
      <c r="IU22" s="17">
        <v>14</v>
      </c>
    </row>
    <row r="23" spans="1:255" ht="14.65" customHeight="1">
      <c r="IU23" s="17">
        <v>14</v>
      </c>
    </row>
    <row r="24" spans="1:255" ht="22.5" hidden="1" customHeight="1">
      <c r="A24" s="17" t="s">
        <v>82</v>
      </c>
      <c r="B24" s="37">
        <v>0</v>
      </c>
      <c r="C24" s="17">
        <v>0</v>
      </c>
      <c r="D24" s="109">
        <v>3</v>
      </c>
      <c r="E24" s="17">
        <v>6</v>
      </c>
      <c r="F24" s="17">
        <v>46</v>
      </c>
      <c r="G24" s="17">
        <v>16</v>
      </c>
      <c r="H24" s="17">
        <v>16</v>
      </c>
      <c r="I24" s="17">
        <v>35</v>
      </c>
      <c r="J24" s="17">
        <v>89</v>
      </c>
      <c r="K24" s="87">
        <v>3</v>
      </c>
      <c r="L24" s="87">
        <v>8</v>
      </c>
      <c r="M24" s="87">
        <v>8</v>
      </c>
      <c r="N24" s="87">
        <v>8</v>
      </c>
      <c r="O24" s="87">
        <v>25</v>
      </c>
      <c r="P24" s="87">
        <v>14</v>
      </c>
      <c r="Q24" s="110">
        <v>8</v>
      </c>
      <c r="R24" s="110">
        <v>8</v>
      </c>
      <c r="S24" s="110">
        <v>8</v>
      </c>
      <c r="T24" s="110">
        <v>8</v>
      </c>
      <c r="U24" s="17">
        <v>8</v>
      </c>
      <c r="V24" s="17">
        <v>8</v>
      </c>
      <c r="W24" s="17">
        <v>8</v>
      </c>
      <c r="X24" s="17">
        <v>8</v>
      </c>
      <c r="Y24" s="17">
        <v>8</v>
      </c>
      <c r="Z24" s="17">
        <v>8</v>
      </c>
      <c r="AA24" s="17">
        <v>8</v>
      </c>
      <c r="AB24" s="17">
        <v>8</v>
      </c>
      <c r="AC24" s="17">
        <v>8</v>
      </c>
      <c r="AD24" s="17">
        <v>8</v>
      </c>
      <c r="AE24" s="17">
        <v>8</v>
      </c>
      <c r="AF24" s="17">
        <v>8</v>
      </c>
      <c r="AG24" s="17">
        <v>8</v>
      </c>
      <c r="AH24" s="17">
        <v>8</v>
      </c>
      <c r="AI24" s="17">
        <v>8</v>
      </c>
      <c r="AJ24" s="17">
        <v>8</v>
      </c>
      <c r="AK24" s="17">
        <v>8</v>
      </c>
      <c r="AL24" s="17">
        <v>8</v>
      </c>
      <c r="AM24" s="17">
        <v>8</v>
      </c>
      <c r="AN24" s="17">
        <v>8</v>
      </c>
      <c r="AO24" s="17">
        <v>8</v>
      </c>
      <c r="AP24" s="17">
        <v>8</v>
      </c>
      <c r="AQ24" s="17">
        <v>8</v>
      </c>
      <c r="AR24" s="17">
        <v>8</v>
      </c>
      <c r="AS24" s="17">
        <v>8</v>
      </c>
      <c r="AT24" s="17">
        <v>8</v>
      </c>
      <c r="AU24" s="17">
        <v>8</v>
      </c>
      <c r="AV24" s="17">
        <v>8</v>
      </c>
      <c r="AW24" s="17">
        <v>8</v>
      </c>
      <c r="AX24" s="17">
        <v>8</v>
      </c>
      <c r="AY24" s="17">
        <v>8</v>
      </c>
      <c r="AZ24" s="17">
        <v>8</v>
      </c>
      <c r="BA24" s="17">
        <v>8</v>
      </c>
      <c r="BB24" s="17">
        <v>8</v>
      </c>
      <c r="BC24" s="17">
        <v>8</v>
      </c>
      <c r="BD24" s="17">
        <v>8</v>
      </c>
      <c r="BE24" s="17">
        <v>8</v>
      </c>
      <c r="BF24" s="17">
        <v>8</v>
      </c>
      <c r="BG24" s="17">
        <v>8</v>
      </c>
      <c r="BH24" s="17">
        <v>8</v>
      </c>
      <c r="BI24" s="17">
        <v>8</v>
      </c>
      <c r="BJ24" s="17">
        <v>8</v>
      </c>
      <c r="BK24" s="17">
        <v>8</v>
      </c>
      <c r="BL24" s="17">
        <v>8</v>
      </c>
      <c r="BM24" s="17">
        <v>8</v>
      </c>
      <c r="BN24" s="17">
        <v>8</v>
      </c>
      <c r="BO24" s="17">
        <v>8</v>
      </c>
      <c r="BP24" s="17">
        <v>8</v>
      </c>
      <c r="BQ24" s="17">
        <v>8</v>
      </c>
      <c r="BR24" s="17">
        <v>8</v>
      </c>
      <c r="BS24" s="17">
        <v>8</v>
      </c>
      <c r="BT24" s="17">
        <v>8</v>
      </c>
      <c r="BU24" s="17">
        <v>8</v>
      </c>
      <c r="BV24" s="17">
        <v>8</v>
      </c>
      <c r="BW24" s="17">
        <v>8</v>
      </c>
      <c r="BX24" s="17">
        <v>8</v>
      </c>
      <c r="BY24" s="17">
        <v>8</v>
      </c>
      <c r="BZ24" s="17">
        <v>8</v>
      </c>
      <c r="CA24" s="17">
        <v>8</v>
      </c>
      <c r="CB24" s="17">
        <v>8</v>
      </c>
      <c r="CC24" s="17">
        <v>8</v>
      </c>
      <c r="CD24" s="17">
        <v>8</v>
      </c>
      <c r="CE24" s="17">
        <v>8</v>
      </c>
      <c r="CF24" s="17">
        <v>8</v>
      </c>
      <c r="CG24" s="17">
        <v>8</v>
      </c>
      <c r="CH24" s="17">
        <v>8</v>
      </c>
      <c r="CI24" s="17">
        <v>8</v>
      </c>
      <c r="CJ24" s="17">
        <v>8</v>
      </c>
      <c r="CK24" s="17">
        <v>8</v>
      </c>
      <c r="CL24" s="17">
        <v>8</v>
      </c>
      <c r="CM24" s="17">
        <v>8</v>
      </c>
      <c r="CN24" s="17">
        <v>8</v>
      </c>
      <c r="CO24" s="17">
        <v>8</v>
      </c>
      <c r="CP24" s="17">
        <v>8</v>
      </c>
      <c r="CQ24" s="17">
        <v>8</v>
      </c>
      <c r="CR24" s="17">
        <v>8</v>
      </c>
      <c r="CS24" s="17">
        <v>8</v>
      </c>
      <c r="CT24" s="17">
        <v>8</v>
      </c>
      <c r="CU24" s="17">
        <v>8</v>
      </c>
      <c r="CV24" s="17">
        <v>8</v>
      </c>
      <c r="CW24" s="17">
        <v>8</v>
      </c>
      <c r="CX24" s="17">
        <v>8</v>
      </c>
      <c r="CY24" s="17">
        <v>8</v>
      </c>
      <c r="CZ24" s="17">
        <v>8</v>
      </c>
      <c r="DA24" s="17">
        <v>8</v>
      </c>
      <c r="DB24" s="17">
        <v>8</v>
      </c>
      <c r="DC24" s="17">
        <v>8</v>
      </c>
      <c r="DD24" s="17">
        <v>8</v>
      </c>
      <c r="DE24" s="17">
        <v>8</v>
      </c>
      <c r="DF24" s="17">
        <v>8</v>
      </c>
      <c r="DG24" s="17">
        <v>8</v>
      </c>
      <c r="DH24" s="17">
        <v>8</v>
      </c>
      <c r="DI24" s="17">
        <v>8</v>
      </c>
      <c r="DJ24" s="17">
        <v>8</v>
      </c>
      <c r="DK24" s="17">
        <v>8</v>
      </c>
      <c r="DL24" s="17">
        <v>8</v>
      </c>
      <c r="DM24" s="17">
        <v>8</v>
      </c>
      <c r="DN24" s="17">
        <v>8</v>
      </c>
      <c r="DO24" s="17">
        <v>8</v>
      </c>
      <c r="DP24" s="17">
        <v>8</v>
      </c>
      <c r="DQ24" s="17">
        <v>8</v>
      </c>
      <c r="DR24" s="17">
        <v>8</v>
      </c>
      <c r="DS24" s="17">
        <v>8</v>
      </c>
      <c r="DT24" s="17">
        <v>8</v>
      </c>
      <c r="DU24" s="17">
        <v>8</v>
      </c>
      <c r="DV24" s="17">
        <v>8</v>
      </c>
      <c r="DW24" s="17">
        <v>8</v>
      </c>
      <c r="DX24" s="17">
        <v>8</v>
      </c>
      <c r="DY24" s="17">
        <v>8</v>
      </c>
      <c r="DZ24" s="17">
        <v>8</v>
      </c>
      <c r="EA24" s="17">
        <v>8</v>
      </c>
      <c r="EB24" s="17">
        <v>8</v>
      </c>
      <c r="EC24" s="17">
        <v>8</v>
      </c>
      <c r="ED24" s="17">
        <v>8</v>
      </c>
      <c r="EE24" s="17">
        <v>8</v>
      </c>
      <c r="EF24" s="17">
        <v>8</v>
      </c>
      <c r="EG24" s="17">
        <v>8</v>
      </c>
      <c r="EH24" s="17">
        <v>8</v>
      </c>
      <c r="EI24" s="17">
        <v>8</v>
      </c>
      <c r="EJ24" s="17">
        <v>8</v>
      </c>
      <c r="EK24" s="17">
        <v>8</v>
      </c>
      <c r="EL24" s="17">
        <v>8</v>
      </c>
      <c r="EM24" s="17">
        <v>8</v>
      </c>
      <c r="EN24" s="17">
        <v>8</v>
      </c>
      <c r="EO24" s="17">
        <v>8</v>
      </c>
      <c r="EP24" s="17">
        <v>8</v>
      </c>
      <c r="EQ24" s="17">
        <v>8</v>
      </c>
      <c r="ER24" s="17">
        <v>8</v>
      </c>
      <c r="ES24" s="17">
        <v>8</v>
      </c>
      <c r="ET24" s="17">
        <v>8</v>
      </c>
      <c r="EU24" s="17">
        <v>8</v>
      </c>
      <c r="EV24" s="17">
        <v>8</v>
      </c>
      <c r="EW24" s="17">
        <v>8</v>
      </c>
      <c r="EX24" s="17">
        <v>8</v>
      </c>
      <c r="EY24" s="17">
        <v>8</v>
      </c>
      <c r="EZ24" s="17">
        <v>8</v>
      </c>
      <c r="FA24" s="17">
        <v>8</v>
      </c>
      <c r="FB24" s="17">
        <v>8</v>
      </c>
      <c r="FC24" s="17">
        <v>8</v>
      </c>
      <c r="FD24" s="17">
        <v>8</v>
      </c>
      <c r="FE24" s="17">
        <v>8</v>
      </c>
      <c r="FF24" s="17">
        <v>8</v>
      </c>
      <c r="FG24" s="17">
        <v>8</v>
      </c>
      <c r="FH24" s="17">
        <v>8</v>
      </c>
      <c r="FI24" s="17">
        <v>8</v>
      </c>
      <c r="FJ24" s="17">
        <v>8</v>
      </c>
      <c r="FK24" s="17">
        <v>8</v>
      </c>
      <c r="FL24" s="17">
        <v>8</v>
      </c>
      <c r="FM24" s="17">
        <v>8</v>
      </c>
      <c r="FN24" s="17">
        <v>8</v>
      </c>
      <c r="FO24" s="17">
        <v>8</v>
      </c>
      <c r="FP24" s="17">
        <v>8</v>
      </c>
      <c r="FQ24" s="17">
        <v>8</v>
      </c>
      <c r="FR24" s="17">
        <v>8</v>
      </c>
      <c r="FS24" s="17">
        <v>8</v>
      </c>
      <c r="FT24" s="17">
        <v>8</v>
      </c>
      <c r="FU24" s="17">
        <v>8</v>
      </c>
      <c r="FV24" s="17">
        <v>8</v>
      </c>
      <c r="FW24" s="17">
        <v>8</v>
      </c>
      <c r="FX24" s="17">
        <v>8</v>
      </c>
      <c r="FY24" s="17">
        <v>8</v>
      </c>
      <c r="FZ24" s="17">
        <v>8</v>
      </c>
      <c r="GA24" s="17">
        <v>8</v>
      </c>
      <c r="GB24" s="17">
        <v>8</v>
      </c>
      <c r="GC24" s="17">
        <v>8</v>
      </c>
      <c r="GD24" s="17">
        <v>8</v>
      </c>
      <c r="GE24" s="17">
        <v>8</v>
      </c>
      <c r="GF24" s="17">
        <v>8</v>
      </c>
      <c r="GG24" s="17">
        <v>8</v>
      </c>
      <c r="GH24" s="17">
        <v>8</v>
      </c>
      <c r="GI24" s="17">
        <v>8</v>
      </c>
      <c r="GJ24" s="17">
        <v>8</v>
      </c>
      <c r="GK24" s="17">
        <v>8</v>
      </c>
      <c r="GL24" s="17">
        <v>8</v>
      </c>
      <c r="GM24" s="17">
        <v>8</v>
      </c>
      <c r="GN24" s="17">
        <v>8</v>
      </c>
      <c r="GO24" s="17">
        <v>8</v>
      </c>
      <c r="GP24" s="17">
        <v>8</v>
      </c>
      <c r="GQ24" s="17">
        <v>8</v>
      </c>
      <c r="GR24" s="17">
        <v>8</v>
      </c>
      <c r="GS24" s="17">
        <v>8</v>
      </c>
      <c r="GT24" s="17">
        <v>8</v>
      </c>
      <c r="GU24" s="17">
        <v>8</v>
      </c>
      <c r="GV24" s="17">
        <v>8</v>
      </c>
      <c r="GW24" s="17">
        <v>8</v>
      </c>
      <c r="GX24" s="17">
        <v>8</v>
      </c>
      <c r="GY24" s="17">
        <v>8</v>
      </c>
      <c r="GZ24" s="17">
        <v>8</v>
      </c>
      <c r="HA24" s="17">
        <v>8</v>
      </c>
      <c r="HB24" s="17">
        <v>8</v>
      </c>
      <c r="HC24" s="17">
        <v>8</v>
      </c>
      <c r="HD24" s="17">
        <v>8</v>
      </c>
      <c r="HE24" s="17">
        <v>8</v>
      </c>
      <c r="HF24" s="17">
        <v>8</v>
      </c>
      <c r="HG24" s="17">
        <v>8</v>
      </c>
      <c r="HH24" s="17">
        <v>8</v>
      </c>
      <c r="HI24" s="17">
        <v>8</v>
      </c>
      <c r="HJ24" s="17">
        <v>8</v>
      </c>
      <c r="HK24" s="17">
        <v>8</v>
      </c>
      <c r="HL24" s="17">
        <v>8</v>
      </c>
      <c r="HM24" s="17">
        <v>8</v>
      </c>
      <c r="HN24" s="17">
        <v>8</v>
      </c>
      <c r="HO24" s="17">
        <v>8</v>
      </c>
      <c r="HP24" s="17">
        <v>8</v>
      </c>
      <c r="HQ24" s="17">
        <v>8</v>
      </c>
      <c r="HR24" s="17">
        <v>8</v>
      </c>
      <c r="HS24" s="17">
        <v>8</v>
      </c>
      <c r="HT24" s="17">
        <v>8</v>
      </c>
      <c r="HU24" s="17">
        <v>8</v>
      </c>
      <c r="HV24" s="17">
        <v>8</v>
      </c>
      <c r="HW24" s="17">
        <v>8</v>
      </c>
      <c r="HX24" s="17">
        <v>8</v>
      </c>
      <c r="HY24" s="17">
        <v>8</v>
      </c>
      <c r="HZ24" s="17">
        <v>8</v>
      </c>
      <c r="IA24" s="17">
        <v>8</v>
      </c>
      <c r="IB24" s="17">
        <v>8</v>
      </c>
      <c r="IC24" s="17">
        <v>8</v>
      </c>
      <c r="ID24" s="17">
        <v>8</v>
      </c>
      <c r="IE24" s="17">
        <v>8</v>
      </c>
      <c r="IF24" s="17">
        <v>8</v>
      </c>
      <c r="IG24" s="17">
        <v>8</v>
      </c>
      <c r="IH24" s="17">
        <v>8</v>
      </c>
      <c r="II24" s="17">
        <v>8</v>
      </c>
      <c r="IJ24" s="17">
        <v>8</v>
      </c>
      <c r="IK24" s="17">
        <v>8</v>
      </c>
      <c r="IL24" s="17">
        <v>8</v>
      </c>
      <c r="IM24" s="17">
        <v>8</v>
      </c>
      <c r="IN24" s="17">
        <v>8</v>
      </c>
      <c r="IO24" s="17">
        <v>8</v>
      </c>
      <c r="IP24" s="17">
        <v>8</v>
      </c>
      <c r="IQ24" s="17">
        <v>8</v>
      </c>
      <c r="IR24" s="17">
        <v>8</v>
      </c>
      <c r="IS24" s="17">
        <v>8</v>
      </c>
      <c r="IT24" s="17">
        <v>8</v>
      </c>
      <c r="IU24" s="17">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1324-633F-286B-706C-7D63AB58D9B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2" width="9.140625" hidden="1"/>
    <col min="3" max="3" width="3.7109375" hidden="1" customWidth="1"/>
    <col min="4" max="4" width="3" customWidth="1"/>
    <col min="5" max="5" width="6" customWidth="1"/>
    <col min="6" max="6" width="27" customWidth="1"/>
    <col min="7" max="7" width="16" customWidth="1"/>
    <col min="8" max="8" width="12" customWidth="1"/>
    <col min="9" max="9" width="32" customWidth="1"/>
    <col min="10" max="11" width="41" customWidth="1"/>
    <col min="12" max="12" width="89" customWidth="1"/>
    <col min="13" max="13" width="3" customWidth="1"/>
    <col min="14" max="16" width="8" customWidth="1"/>
    <col min="17" max="17" width="25" customWidth="1"/>
    <col min="18" max="18" width="14" customWidth="1"/>
    <col min="19" max="256" width="8" customWidth="1"/>
    <col min="257" max="257" width="9.140625" hidden="1"/>
  </cols>
  <sheetData>
    <row r="1" spans="1:257" ht="22.5" hidden="1" customHeight="1">
      <c r="IW1" s="17" t="s">
        <v>14</v>
      </c>
    </row>
    <row r="2" spans="1:257" ht="22.5" hidden="1" customHeight="1">
      <c r="B2" s="37">
        <v>1</v>
      </c>
      <c r="D2" s="588" t="s">
        <v>690</v>
      </c>
      <c r="E2" s="22"/>
      <c r="F2" s="338" t="str">
        <f>IF(ROIV_INFO_NAME="","",ROIV_INFO_NAME)</f>
        <v>ООО "ТВС"</v>
      </c>
      <c r="G2" s="735" t="s">
        <v>22</v>
      </c>
      <c r="H2" s="736"/>
      <c r="I2" s="731"/>
      <c r="J2" s="477"/>
      <c r="K2" s="477"/>
      <c r="M2" s="737" t="e">
        <f ca="1">MERGEVALUE(F2)</f>
        <v>#NAME?</v>
      </c>
      <c r="P2" s="87" t="str">
        <f t="array" ref="P2">IF(ISERROR(MATCH(MID(Q2,1,250),MID(note_ter,1,250),0)),"n","y")</f>
        <v>n</v>
      </c>
      <c r="R2" s="87" t="str">
        <f>G2&amp;"("&amp;L2&amp;")"</f>
        <v>()</v>
      </c>
      <c r="IW2" s="97">
        <v>0</v>
      </c>
    </row>
    <row r="3" spans="1:257" ht="5.25" hidden="1" customHeight="1">
      <c r="F3" s="72" t="s">
        <v>83</v>
      </c>
      <c r="G3" s="738" t="s">
        <v>84</v>
      </c>
      <c r="L3" s="74" t="s">
        <v>85</v>
      </c>
      <c r="M3" s="72" t="s">
        <v>83</v>
      </c>
      <c r="IW3" s="75">
        <v>0</v>
      </c>
    </row>
    <row r="4" spans="1:257" ht="14.65" customHeight="1">
      <c r="IW4" s="77">
        <v>14</v>
      </c>
    </row>
    <row r="5" spans="1:257" ht="27.4" customHeight="1">
      <c r="E5" s="9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981"/>
      <c r="G5" s="981"/>
      <c r="H5" s="981"/>
      <c r="I5" s="981"/>
      <c r="J5" s="981"/>
      <c r="K5" s="981"/>
      <c r="IW5" s="77">
        <v>26</v>
      </c>
    </row>
    <row r="6" spans="1:257" ht="14.65" customHeight="1">
      <c r="IW6" s="77">
        <v>14</v>
      </c>
    </row>
    <row r="7" spans="1:257" ht="14.65" customHeight="1">
      <c r="E7" s="977" t="s">
        <v>301</v>
      </c>
      <c r="F7" s="982"/>
      <c r="G7" s="982"/>
      <c r="H7" s="982"/>
      <c r="I7" s="982"/>
      <c r="J7" s="982"/>
      <c r="K7" s="982"/>
      <c r="L7" s="1274" t="s">
        <v>302</v>
      </c>
      <c r="IW7" s="77">
        <v>14</v>
      </c>
    </row>
    <row r="8" spans="1:257" ht="67.150000000000006" customHeight="1">
      <c r="E8" s="1278" t="s">
        <v>88</v>
      </c>
      <c r="F8" s="12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2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281"/>
      <c r="I8" s="1282"/>
      <c r="J8" s="12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2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276"/>
      <c r="IW8" s="77">
        <v>64</v>
      </c>
    </row>
    <row r="9" spans="1:257" ht="29.25" customHeight="1">
      <c r="E9" s="1279"/>
      <c r="F9" s="1279"/>
      <c r="G9" s="739" t="s">
        <v>1875</v>
      </c>
      <c r="H9" s="739" t="s">
        <v>1876</v>
      </c>
      <c r="I9" s="739" t="s">
        <v>1877</v>
      </c>
      <c r="J9" s="1279"/>
      <c r="K9" s="1279"/>
      <c r="L9" s="1275"/>
      <c r="IW9" s="77">
        <v>28</v>
      </c>
    </row>
    <row r="10" spans="1:257" ht="23.25" customHeight="1">
      <c r="A10" s="964"/>
      <c r="B10" s="37">
        <v>1</v>
      </c>
      <c r="D10" s="92"/>
      <c r="E10" s="93">
        <v>1</v>
      </c>
      <c r="F10" s="740" t="str">
        <f>IF(ROIV_INFO_NAME="","",ROIV_INFO_NAME)</f>
        <v>ООО "ТВС"</v>
      </c>
      <c r="G10" s="35" t="s">
        <v>22</v>
      </c>
      <c r="H10" s="736"/>
      <c r="I10" s="741"/>
      <c r="J10" s="477"/>
      <c r="K10" s="477"/>
      <c r="L10" s="12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737" t="e">
        <f ca="1">MERGEVALUE(F10)</f>
        <v>#NAME?</v>
      </c>
      <c r="P10" s="87" t="str">
        <f t="array" ref="P10">IF(ISERROR(MATCH(MID(Q10,1,250),MID(note_ter,1,250),0)),"n","y")</f>
        <v>n</v>
      </c>
      <c r="R10" s="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97">
        <v>22</v>
      </c>
    </row>
    <row r="11" spans="1:257" ht="15.75" customHeight="1">
      <c r="A11" s="964"/>
      <c r="E11" s="98"/>
      <c r="F11" s="105" t="s">
        <v>1878</v>
      </c>
      <c r="G11" s="101"/>
      <c r="H11" s="101"/>
      <c r="I11" s="101"/>
      <c r="J11" s="101"/>
      <c r="K11" s="102"/>
      <c r="L11" s="1277"/>
      <c r="IW11" s="97">
        <v>15</v>
      </c>
    </row>
    <row r="12" spans="1:257" ht="21.95" customHeight="1">
      <c r="E12" s="107"/>
      <c r="F12" s="107"/>
      <c r="G12" s="107"/>
      <c r="H12" s="107"/>
      <c r="I12" s="107"/>
      <c r="J12" s="107"/>
      <c r="K12" s="107"/>
      <c r="L12" s="107"/>
      <c r="IW12" s="77">
        <v>21</v>
      </c>
    </row>
    <row r="13" spans="1:257" ht="14.65" customHeight="1">
      <c r="IW13" s="77">
        <v>14</v>
      </c>
    </row>
    <row r="14" spans="1:257" ht="1.1499999999999999" customHeight="1">
      <c r="IW14" s="77">
        <v>1</v>
      </c>
    </row>
    <row r="15" spans="1:257" ht="22.5" hidden="1" customHeight="1">
      <c r="A15" s="17" t="s">
        <v>82</v>
      </c>
      <c r="B15" s="37">
        <v>0</v>
      </c>
      <c r="C15" s="17">
        <v>0</v>
      </c>
      <c r="D15" s="109">
        <v>3</v>
      </c>
      <c r="E15" s="17">
        <v>6</v>
      </c>
      <c r="F15" s="17">
        <v>27</v>
      </c>
      <c r="G15" s="17">
        <v>16</v>
      </c>
      <c r="H15" s="17">
        <v>12</v>
      </c>
      <c r="I15" s="17">
        <v>32</v>
      </c>
      <c r="J15" s="17">
        <v>41</v>
      </c>
      <c r="K15" s="17">
        <v>41</v>
      </c>
      <c r="L15" s="17">
        <v>89</v>
      </c>
      <c r="M15" s="87">
        <v>3</v>
      </c>
      <c r="N15" s="87">
        <v>8</v>
      </c>
      <c r="O15" s="87">
        <v>8</v>
      </c>
      <c r="P15" s="87">
        <v>8</v>
      </c>
      <c r="Q15" s="87">
        <v>25</v>
      </c>
      <c r="R15" s="87">
        <v>14</v>
      </c>
      <c r="S15" s="110">
        <v>8</v>
      </c>
      <c r="T15" s="110">
        <v>8</v>
      </c>
      <c r="U15" s="110">
        <v>8</v>
      </c>
      <c r="V15" s="110">
        <v>8</v>
      </c>
      <c r="W15" s="17">
        <v>8</v>
      </c>
      <c r="X15" s="17">
        <v>8</v>
      </c>
      <c r="Y15" s="17">
        <v>8</v>
      </c>
      <c r="Z15" s="17">
        <v>8</v>
      </c>
      <c r="AA15" s="17">
        <v>8</v>
      </c>
      <c r="AB15" s="17">
        <v>8</v>
      </c>
      <c r="AC15" s="17">
        <v>8</v>
      </c>
      <c r="AD15" s="17">
        <v>8</v>
      </c>
      <c r="AE15" s="17">
        <v>8</v>
      </c>
      <c r="AF15" s="17">
        <v>8</v>
      </c>
      <c r="AG15" s="17">
        <v>8</v>
      </c>
      <c r="AH15" s="17">
        <v>8</v>
      </c>
      <c r="AI15" s="17">
        <v>8</v>
      </c>
      <c r="AJ15" s="17">
        <v>8</v>
      </c>
      <c r="AK15" s="17">
        <v>8</v>
      </c>
      <c r="AL15" s="17">
        <v>8</v>
      </c>
      <c r="AM15" s="17">
        <v>8</v>
      </c>
      <c r="AN15" s="17">
        <v>8</v>
      </c>
      <c r="AO15" s="17">
        <v>8</v>
      </c>
      <c r="AP15" s="17">
        <v>8</v>
      </c>
      <c r="AQ15" s="17">
        <v>8</v>
      </c>
      <c r="AR15" s="17">
        <v>8</v>
      </c>
      <c r="AS15" s="17">
        <v>8</v>
      </c>
      <c r="AT15" s="17">
        <v>8</v>
      </c>
      <c r="AU15" s="17">
        <v>8</v>
      </c>
      <c r="AV15" s="17">
        <v>8</v>
      </c>
      <c r="AW15" s="17">
        <v>8</v>
      </c>
      <c r="AX15" s="17">
        <v>8</v>
      </c>
      <c r="AY15" s="17">
        <v>8</v>
      </c>
      <c r="AZ15" s="17">
        <v>8</v>
      </c>
      <c r="BA15" s="17">
        <v>8</v>
      </c>
      <c r="BB15" s="17">
        <v>8</v>
      </c>
      <c r="BC15" s="17">
        <v>8</v>
      </c>
      <c r="BD15" s="17">
        <v>8</v>
      </c>
      <c r="BE15" s="17">
        <v>8</v>
      </c>
      <c r="BF15" s="17">
        <v>8</v>
      </c>
      <c r="BG15" s="17">
        <v>8</v>
      </c>
      <c r="BH15" s="17">
        <v>8</v>
      </c>
      <c r="BI15" s="17">
        <v>8</v>
      </c>
      <c r="BJ15" s="17">
        <v>8</v>
      </c>
      <c r="BK15" s="17">
        <v>8</v>
      </c>
      <c r="BL15" s="17">
        <v>8</v>
      </c>
      <c r="BM15" s="17">
        <v>8</v>
      </c>
      <c r="BN15" s="17">
        <v>8</v>
      </c>
      <c r="BO15" s="17">
        <v>8</v>
      </c>
      <c r="BP15" s="17">
        <v>8</v>
      </c>
      <c r="BQ15" s="17">
        <v>8</v>
      </c>
      <c r="BR15" s="17">
        <v>8</v>
      </c>
      <c r="BS15" s="17">
        <v>8</v>
      </c>
      <c r="BT15" s="17">
        <v>8</v>
      </c>
      <c r="BU15" s="17">
        <v>8</v>
      </c>
      <c r="BV15" s="17">
        <v>8</v>
      </c>
      <c r="BW15" s="17">
        <v>8</v>
      </c>
      <c r="BX15" s="17">
        <v>8</v>
      </c>
      <c r="BY15" s="17">
        <v>8</v>
      </c>
      <c r="BZ15" s="17">
        <v>8</v>
      </c>
      <c r="CA15" s="17">
        <v>8</v>
      </c>
      <c r="CB15" s="17">
        <v>8</v>
      </c>
      <c r="CC15" s="17">
        <v>8</v>
      </c>
      <c r="CD15" s="17">
        <v>8</v>
      </c>
      <c r="CE15" s="17">
        <v>8</v>
      </c>
      <c r="CF15" s="17">
        <v>8</v>
      </c>
      <c r="CG15" s="17">
        <v>8</v>
      </c>
      <c r="CH15" s="17">
        <v>8</v>
      </c>
      <c r="CI15" s="17">
        <v>8</v>
      </c>
      <c r="CJ15" s="17">
        <v>8</v>
      </c>
      <c r="CK15" s="17">
        <v>8</v>
      </c>
      <c r="CL15" s="17">
        <v>8</v>
      </c>
      <c r="CM15" s="17">
        <v>8</v>
      </c>
      <c r="CN15" s="17">
        <v>8</v>
      </c>
      <c r="CO15" s="17">
        <v>8</v>
      </c>
      <c r="CP15" s="17">
        <v>8</v>
      </c>
      <c r="CQ15" s="17">
        <v>8</v>
      </c>
      <c r="CR15" s="17">
        <v>8</v>
      </c>
      <c r="CS15" s="17">
        <v>8</v>
      </c>
      <c r="CT15" s="17">
        <v>8</v>
      </c>
      <c r="CU15" s="17">
        <v>8</v>
      </c>
      <c r="CV15" s="17">
        <v>8</v>
      </c>
      <c r="CW15" s="17">
        <v>8</v>
      </c>
      <c r="CX15" s="17">
        <v>8</v>
      </c>
      <c r="CY15" s="17">
        <v>8</v>
      </c>
      <c r="CZ15" s="17">
        <v>8</v>
      </c>
      <c r="DA15" s="17">
        <v>8</v>
      </c>
      <c r="DB15" s="17">
        <v>8</v>
      </c>
      <c r="DC15" s="17">
        <v>8</v>
      </c>
      <c r="DD15" s="17">
        <v>8</v>
      </c>
      <c r="DE15" s="17">
        <v>8</v>
      </c>
      <c r="DF15" s="17">
        <v>8</v>
      </c>
      <c r="DG15" s="17">
        <v>8</v>
      </c>
      <c r="DH15" s="17">
        <v>8</v>
      </c>
      <c r="DI15" s="17">
        <v>8</v>
      </c>
      <c r="DJ15" s="17">
        <v>8</v>
      </c>
      <c r="DK15" s="17">
        <v>8</v>
      </c>
      <c r="DL15" s="17">
        <v>8</v>
      </c>
      <c r="DM15" s="17">
        <v>8</v>
      </c>
      <c r="DN15" s="17">
        <v>8</v>
      </c>
      <c r="DO15" s="17">
        <v>8</v>
      </c>
      <c r="DP15" s="17">
        <v>8</v>
      </c>
      <c r="DQ15" s="17">
        <v>8</v>
      </c>
      <c r="DR15" s="17">
        <v>8</v>
      </c>
      <c r="DS15" s="17">
        <v>8</v>
      </c>
      <c r="DT15" s="17">
        <v>8</v>
      </c>
      <c r="DU15" s="17">
        <v>8</v>
      </c>
      <c r="DV15" s="17">
        <v>8</v>
      </c>
      <c r="DW15" s="17">
        <v>8</v>
      </c>
      <c r="DX15" s="17">
        <v>8</v>
      </c>
      <c r="DY15" s="17">
        <v>8</v>
      </c>
      <c r="DZ15" s="17">
        <v>8</v>
      </c>
      <c r="EA15" s="17">
        <v>8</v>
      </c>
      <c r="EB15" s="17">
        <v>8</v>
      </c>
      <c r="EC15" s="17">
        <v>8</v>
      </c>
      <c r="ED15" s="17">
        <v>8</v>
      </c>
      <c r="EE15" s="17">
        <v>8</v>
      </c>
      <c r="EF15" s="17">
        <v>8</v>
      </c>
      <c r="EG15" s="17">
        <v>8</v>
      </c>
      <c r="EH15" s="17">
        <v>8</v>
      </c>
      <c r="EI15" s="17">
        <v>8</v>
      </c>
      <c r="EJ15" s="17">
        <v>8</v>
      </c>
      <c r="EK15" s="17">
        <v>8</v>
      </c>
      <c r="EL15" s="17">
        <v>8</v>
      </c>
      <c r="EM15" s="17">
        <v>8</v>
      </c>
      <c r="EN15" s="17">
        <v>8</v>
      </c>
      <c r="EO15" s="17">
        <v>8</v>
      </c>
      <c r="EP15" s="17">
        <v>8</v>
      </c>
      <c r="EQ15" s="17">
        <v>8</v>
      </c>
      <c r="ER15" s="17">
        <v>8</v>
      </c>
      <c r="ES15" s="17">
        <v>8</v>
      </c>
      <c r="ET15" s="17">
        <v>8</v>
      </c>
      <c r="EU15" s="17">
        <v>8</v>
      </c>
      <c r="EV15" s="17">
        <v>8</v>
      </c>
      <c r="EW15" s="17">
        <v>8</v>
      </c>
      <c r="EX15" s="17">
        <v>8</v>
      </c>
      <c r="EY15" s="17">
        <v>8</v>
      </c>
      <c r="EZ15" s="17">
        <v>8</v>
      </c>
      <c r="FA15" s="17">
        <v>8</v>
      </c>
      <c r="FB15" s="17">
        <v>8</v>
      </c>
      <c r="FC15" s="17">
        <v>8</v>
      </c>
      <c r="FD15" s="17">
        <v>8</v>
      </c>
      <c r="FE15" s="17">
        <v>8</v>
      </c>
      <c r="FF15" s="17">
        <v>8</v>
      </c>
      <c r="FG15" s="17">
        <v>8</v>
      </c>
      <c r="FH15" s="17">
        <v>8</v>
      </c>
      <c r="FI15" s="17">
        <v>8</v>
      </c>
      <c r="FJ15" s="17">
        <v>8</v>
      </c>
      <c r="FK15" s="17">
        <v>8</v>
      </c>
      <c r="FL15" s="17">
        <v>8</v>
      </c>
      <c r="FM15" s="17">
        <v>8</v>
      </c>
      <c r="FN15" s="17">
        <v>8</v>
      </c>
      <c r="FO15" s="17">
        <v>8</v>
      </c>
      <c r="FP15" s="17">
        <v>8</v>
      </c>
      <c r="FQ15" s="17">
        <v>8</v>
      </c>
      <c r="FR15" s="17">
        <v>8</v>
      </c>
      <c r="FS15" s="17">
        <v>8</v>
      </c>
      <c r="FT15" s="17">
        <v>8</v>
      </c>
      <c r="FU15" s="17">
        <v>8</v>
      </c>
      <c r="FV15" s="17">
        <v>8</v>
      </c>
      <c r="FW15" s="17">
        <v>8</v>
      </c>
      <c r="FX15" s="17">
        <v>8</v>
      </c>
      <c r="FY15" s="17">
        <v>8</v>
      </c>
      <c r="FZ15" s="17">
        <v>8</v>
      </c>
      <c r="GA15" s="17">
        <v>8</v>
      </c>
      <c r="GB15" s="17">
        <v>8</v>
      </c>
      <c r="GC15" s="17">
        <v>8</v>
      </c>
      <c r="GD15" s="17">
        <v>8</v>
      </c>
      <c r="GE15" s="17">
        <v>8</v>
      </c>
      <c r="GF15" s="17">
        <v>8</v>
      </c>
      <c r="GG15" s="17">
        <v>8</v>
      </c>
      <c r="GH15" s="17">
        <v>8</v>
      </c>
      <c r="GI15" s="17">
        <v>8</v>
      </c>
      <c r="GJ15" s="17">
        <v>8</v>
      </c>
      <c r="GK15" s="17">
        <v>8</v>
      </c>
      <c r="GL15" s="17">
        <v>8</v>
      </c>
      <c r="GM15" s="17">
        <v>8</v>
      </c>
      <c r="GN15" s="17">
        <v>8</v>
      </c>
      <c r="GO15" s="17">
        <v>8</v>
      </c>
      <c r="GP15" s="17">
        <v>8</v>
      </c>
      <c r="GQ15" s="17">
        <v>8</v>
      </c>
      <c r="GR15" s="17">
        <v>8</v>
      </c>
      <c r="GS15" s="17">
        <v>8</v>
      </c>
      <c r="GT15" s="17">
        <v>8</v>
      </c>
      <c r="GU15" s="17">
        <v>8</v>
      </c>
      <c r="GV15" s="17">
        <v>8</v>
      </c>
      <c r="GW15" s="17">
        <v>8</v>
      </c>
      <c r="GX15" s="17">
        <v>8</v>
      </c>
      <c r="GY15" s="17">
        <v>8</v>
      </c>
      <c r="GZ15" s="17">
        <v>8</v>
      </c>
      <c r="HA15" s="17">
        <v>8</v>
      </c>
      <c r="HB15" s="17">
        <v>8</v>
      </c>
      <c r="HC15" s="17">
        <v>8</v>
      </c>
      <c r="HD15" s="17">
        <v>8</v>
      </c>
      <c r="HE15" s="17">
        <v>8</v>
      </c>
      <c r="HF15" s="17">
        <v>8</v>
      </c>
      <c r="HG15" s="17">
        <v>8</v>
      </c>
      <c r="HH15" s="17">
        <v>8</v>
      </c>
      <c r="HI15" s="17">
        <v>8</v>
      </c>
      <c r="HJ15" s="17">
        <v>8</v>
      </c>
      <c r="HK15" s="17">
        <v>8</v>
      </c>
      <c r="HL15" s="17">
        <v>8</v>
      </c>
      <c r="HM15" s="17">
        <v>8</v>
      </c>
      <c r="HN15" s="17">
        <v>8</v>
      </c>
      <c r="HO15" s="17">
        <v>8</v>
      </c>
      <c r="HP15" s="17">
        <v>8</v>
      </c>
      <c r="HQ15" s="17">
        <v>8</v>
      </c>
      <c r="HR15" s="17">
        <v>8</v>
      </c>
      <c r="HS15" s="17">
        <v>8</v>
      </c>
      <c r="HT15" s="17">
        <v>8</v>
      </c>
      <c r="HU15" s="17">
        <v>8</v>
      </c>
      <c r="HV15" s="17">
        <v>8</v>
      </c>
      <c r="HW15" s="17">
        <v>8</v>
      </c>
      <c r="HX15" s="17">
        <v>8</v>
      </c>
      <c r="HY15" s="17">
        <v>8</v>
      </c>
      <c r="HZ15" s="17">
        <v>8</v>
      </c>
      <c r="IA15" s="17">
        <v>8</v>
      </c>
      <c r="IB15" s="17">
        <v>8</v>
      </c>
      <c r="IC15" s="17">
        <v>8</v>
      </c>
      <c r="ID15" s="17">
        <v>8</v>
      </c>
      <c r="IE15" s="17">
        <v>8</v>
      </c>
      <c r="IF15" s="17">
        <v>8</v>
      </c>
      <c r="IG15" s="17">
        <v>8</v>
      </c>
      <c r="IH15" s="17">
        <v>8</v>
      </c>
      <c r="II15" s="17">
        <v>8</v>
      </c>
      <c r="IJ15" s="17">
        <v>8</v>
      </c>
      <c r="IK15" s="17">
        <v>8</v>
      </c>
      <c r="IL15" s="17">
        <v>8</v>
      </c>
      <c r="IM15" s="17">
        <v>8</v>
      </c>
      <c r="IN15" s="17">
        <v>8</v>
      </c>
      <c r="IO15" s="17">
        <v>8</v>
      </c>
      <c r="IP15" s="17">
        <v>8</v>
      </c>
      <c r="IQ15" s="17">
        <v>8</v>
      </c>
      <c r="IR15" s="17">
        <v>8</v>
      </c>
      <c r="IS15" s="17">
        <v>8</v>
      </c>
      <c r="IT15" s="17">
        <v>8</v>
      </c>
      <c r="IU15" s="17">
        <v>8</v>
      </c>
      <c r="IV15" s="17">
        <v>8</v>
      </c>
      <c r="IW15" s="17">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D6B3-616F-C8E6-79A5-460C7EABBDD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2" width="9.140625" hidden="1"/>
    <col min="3" max="3" width="3.7109375" hidden="1" customWidth="1"/>
    <col min="4" max="4" width="3" customWidth="1"/>
    <col min="5" max="5" width="6" customWidth="1"/>
    <col min="6" max="6" width="27" customWidth="1"/>
    <col min="7" max="7" width="16" customWidth="1"/>
    <col min="8" max="8" width="12" customWidth="1"/>
    <col min="9" max="9" width="32" customWidth="1"/>
    <col min="10" max="11" width="41" customWidth="1"/>
    <col min="12" max="12" width="89" customWidth="1"/>
    <col min="13" max="13" width="3" customWidth="1"/>
    <col min="14" max="16" width="8" customWidth="1"/>
    <col min="17" max="17" width="25" customWidth="1"/>
    <col min="18" max="18" width="14" customWidth="1"/>
    <col min="19" max="256" width="8" customWidth="1"/>
    <col min="257" max="257" width="9.140625" hidden="1"/>
  </cols>
  <sheetData>
    <row r="1" spans="1:257" ht="22.5" hidden="1" customHeight="1">
      <c r="IW1" s="17" t="s">
        <v>14</v>
      </c>
    </row>
    <row r="2" spans="1:257" ht="22.5" hidden="1" customHeight="1">
      <c r="B2" s="37">
        <v>1</v>
      </c>
      <c r="D2" s="588" t="s">
        <v>690</v>
      </c>
      <c r="E2" s="88"/>
      <c r="F2" s="338" t="str">
        <f>IF(ROIV_INFO_NAME="","",ROIV_INFO_NAME)</f>
        <v>ООО "ТВС"</v>
      </c>
      <c r="G2" s="35" t="s">
        <v>22</v>
      </c>
      <c r="H2" s="736"/>
      <c r="I2" s="731"/>
      <c r="J2" s="477"/>
      <c r="K2" s="477"/>
      <c r="M2" s="737" t="e">
        <f ca="1">MERGEVALUE(F2)</f>
        <v>#NAME?</v>
      </c>
      <c r="P2" s="87" t="str">
        <f t="array" ref="P2">IF(ISERROR(MATCH(MID(Q2,1,250),MID(note_ter,1,250),0)),"n","y")</f>
        <v>n</v>
      </c>
      <c r="R2" s="87" t="str">
        <f>G2&amp;"("&amp;L2&amp;")"</f>
        <v>()</v>
      </c>
      <c r="IW2" s="97">
        <v>0</v>
      </c>
    </row>
    <row r="3" spans="1:257" ht="5.25" hidden="1" customHeight="1">
      <c r="F3" s="72" t="s">
        <v>83</v>
      </c>
      <c r="G3" s="738" t="s">
        <v>84</v>
      </c>
      <c r="L3" s="74" t="s">
        <v>85</v>
      </c>
      <c r="M3" s="72" t="s">
        <v>83</v>
      </c>
      <c r="IW3" s="75">
        <v>0</v>
      </c>
    </row>
    <row r="4" spans="1:257" ht="14.65" customHeight="1">
      <c r="IW4" s="77">
        <v>14</v>
      </c>
    </row>
    <row r="5" spans="1:257" ht="27.4" customHeight="1">
      <c r="E5" s="9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981"/>
      <c r="G5" s="981"/>
      <c r="H5" s="981"/>
      <c r="I5" s="981"/>
      <c r="J5" s="981"/>
      <c r="K5" s="981"/>
      <c r="IW5" s="77">
        <v>26</v>
      </c>
    </row>
    <row r="6" spans="1:257" ht="14.65" customHeight="1">
      <c r="IW6" s="77">
        <v>14</v>
      </c>
    </row>
    <row r="7" spans="1:257" ht="14.65" customHeight="1">
      <c r="E7" s="977" t="s">
        <v>301</v>
      </c>
      <c r="F7" s="982"/>
      <c r="G7" s="982"/>
      <c r="H7" s="982"/>
      <c r="I7" s="982"/>
      <c r="J7" s="982"/>
      <c r="K7" s="982"/>
      <c r="L7" s="1274" t="s">
        <v>302</v>
      </c>
      <c r="IW7" s="77">
        <v>14</v>
      </c>
    </row>
    <row r="8" spans="1:257" ht="67.150000000000006" customHeight="1">
      <c r="E8" s="1278" t="s">
        <v>88</v>
      </c>
      <c r="F8" s="1278" t="s">
        <v>1879</v>
      </c>
      <c r="G8" s="1280" t="s">
        <v>1880</v>
      </c>
      <c r="H8" s="1281"/>
      <c r="I8" s="1282"/>
      <c r="J8" s="1278" t="s">
        <v>1881</v>
      </c>
      <c r="K8" s="12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276"/>
      <c r="IW8" s="77">
        <v>64</v>
      </c>
    </row>
    <row r="9" spans="1:257" ht="29.25" customHeight="1">
      <c r="E9" s="1279"/>
      <c r="F9" s="1279"/>
      <c r="G9" s="739" t="s">
        <v>1875</v>
      </c>
      <c r="H9" s="739" t="s">
        <v>1876</v>
      </c>
      <c r="I9" s="739" t="s">
        <v>1877</v>
      </c>
      <c r="J9" s="1279"/>
      <c r="K9" s="1279"/>
      <c r="L9" s="1275"/>
      <c r="IW9" s="77">
        <v>28</v>
      </c>
    </row>
    <row r="10" spans="1:257" ht="1.1499999999999999" customHeight="1">
      <c r="A10" s="964"/>
      <c r="B10" s="37">
        <v>1</v>
      </c>
      <c r="D10" s="92"/>
      <c r="E10" s="94">
        <v>0</v>
      </c>
      <c r="F10" s="244" t="str">
        <f>IF(ROIV_INFO_NAME="","",ROIV_INFO_NAME)</f>
        <v>ООО "ТВС"</v>
      </c>
      <c r="G10" s="44" t="s">
        <v>22</v>
      </c>
      <c r="H10" s="742"/>
      <c r="I10" s="742"/>
      <c r="J10" s="551"/>
      <c r="K10" s="551"/>
      <c r="L10" s="12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737" t="e">
        <f ca="1">MERGEVALUE(F10)</f>
        <v>#NAME?</v>
      </c>
      <c r="P10" s="87" t="str">
        <f t="array" ref="P10">IF(ISERROR(MATCH(MID(Q10,1,250),MID(note_ter,1,250),0)),"n","y")</f>
        <v>n</v>
      </c>
      <c r="R10" s="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97">
        <v>1</v>
      </c>
    </row>
    <row r="11" spans="1:257" ht="15.75" customHeight="1">
      <c r="A11" s="964"/>
      <c r="E11" s="98"/>
      <c r="F11" s="105" t="s">
        <v>1878</v>
      </c>
      <c r="G11" s="101"/>
      <c r="H11" s="101"/>
      <c r="I11" s="101"/>
      <c r="J11" s="101"/>
      <c r="K11" s="102"/>
      <c r="L11" s="1277"/>
      <c r="IW11" s="97">
        <v>15</v>
      </c>
    </row>
    <row r="12" spans="1:257" ht="21.95" customHeight="1">
      <c r="E12" s="107"/>
      <c r="F12" s="107"/>
      <c r="G12" s="107"/>
      <c r="H12" s="107"/>
      <c r="I12" s="107"/>
      <c r="J12" s="107"/>
      <c r="K12" s="107"/>
      <c r="L12" s="107"/>
      <c r="IW12" s="77">
        <v>21</v>
      </c>
    </row>
    <row r="13" spans="1:257" ht="14.65" customHeight="1">
      <c r="IW13" s="77">
        <v>14</v>
      </c>
    </row>
    <row r="14" spans="1:257" ht="1.1499999999999999" customHeight="1">
      <c r="IW14" s="77">
        <v>1</v>
      </c>
    </row>
    <row r="15" spans="1:257" ht="22.5" hidden="1" customHeight="1">
      <c r="A15" s="17" t="s">
        <v>82</v>
      </c>
      <c r="B15" s="37">
        <v>0</v>
      </c>
      <c r="C15" s="17">
        <v>0</v>
      </c>
      <c r="D15" s="109">
        <v>3</v>
      </c>
      <c r="E15" s="17">
        <v>6</v>
      </c>
      <c r="F15" s="17">
        <v>27</v>
      </c>
      <c r="G15" s="17">
        <v>16</v>
      </c>
      <c r="H15" s="17">
        <v>12</v>
      </c>
      <c r="I15" s="17">
        <v>32</v>
      </c>
      <c r="J15" s="17">
        <v>41</v>
      </c>
      <c r="K15" s="17">
        <v>41</v>
      </c>
      <c r="L15" s="17">
        <v>89</v>
      </c>
      <c r="M15" s="87">
        <v>3</v>
      </c>
      <c r="N15" s="87">
        <v>8</v>
      </c>
      <c r="O15" s="87">
        <v>8</v>
      </c>
      <c r="P15" s="87">
        <v>8</v>
      </c>
      <c r="Q15" s="87">
        <v>25</v>
      </c>
      <c r="R15" s="87">
        <v>14</v>
      </c>
      <c r="S15" s="110">
        <v>8</v>
      </c>
      <c r="T15" s="110">
        <v>8</v>
      </c>
      <c r="U15" s="110">
        <v>8</v>
      </c>
      <c r="V15" s="110">
        <v>8</v>
      </c>
      <c r="W15" s="17">
        <v>8</v>
      </c>
      <c r="X15" s="17">
        <v>8</v>
      </c>
      <c r="Y15" s="17">
        <v>8</v>
      </c>
      <c r="Z15" s="17">
        <v>8</v>
      </c>
      <c r="AA15" s="17">
        <v>8</v>
      </c>
      <c r="AB15" s="17">
        <v>8</v>
      </c>
      <c r="AC15" s="17">
        <v>8</v>
      </c>
      <c r="AD15" s="17">
        <v>8</v>
      </c>
      <c r="AE15" s="17">
        <v>8</v>
      </c>
      <c r="AF15" s="17">
        <v>8</v>
      </c>
      <c r="AG15" s="17">
        <v>8</v>
      </c>
      <c r="AH15" s="17">
        <v>8</v>
      </c>
      <c r="AI15" s="17">
        <v>8</v>
      </c>
      <c r="AJ15" s="17">
        <v>8</v>
      </c>
      <c r="AK15" s="17">
        <v>8</v>
      </c>
      <c r="AL15" s="17">
        <v>8</v>
      </c>
      <c r="AM15" s="17">
        <v>8</v>
      </c>
      <c r="AN15" s="17">
        <v>8</v>
      </c>
      <c r="AO15" s="17">
        <v>8</v>
      </c>
      <c r="AP15" s="17">
        <v>8</v>
      </c>
      <c r="AQ15" s="17">
        <v>8</v>
      </c>
      <c r="AR15" s="17">
        <v>8</v>
      </c>
      <c r="AS15" s="17">
        <v>8</v>
      </c>
      <c r="AT15" s="17">
        <v>8</v>
      </c>
      <c r="AU15" s="17">
        <v>8</v>
      </c>
      <c r="AV15" s="17">
        <v>8</v>
      </c>
      <c r="AW15" s="17">
        <v>8</v>
      </c>
      <c r="AX15" s="17">
        <v>8</v>
      </c>
      <c r="AY15" s="17">
        <v>8</v>
      </c>
      <c r="AZ15" s="17">
        <v>8</v>
      </c>
      <c r="BA15" s="17">
        <v>8</v>
      </c>
      <c r="BB15" s="17">
        <v>8</v>
      </c>
      <c r="BC15" s="17">
        <v>8</v>
      </c>
      <c r="BD15" s="17">
        <v>8</v>
      </c>
      <c r="BE15" s="17">
        <v>8</v>
      </c>
      <c r="BF15" s="17">
        <v>8</v>
      </c>
      <c r="BG15" s="17">
        <v>8</v>
      </c>
      <c r="BH15" s="17">
        <v>8</v>
      </c>
      <c r="BI15" s="17">
        <v>8</v>
      </c>
      <c r="BJ15" s="17">
        <v>8</v>
      </c>
      <c r="BK15" s="17">
        <v>8</v>
      </c>
      <c r="BL15" s="17">
        <v>8</v>
      </c>
      <c r="BM15" s="17">
        <v>8</v>
      </c>
      <c r="BN15" s="17">
        <v>8</v>
      </c>
      <c r="BO15" s="17">
        <v>8</v>
      </c>
      <c r="BP15" s="17">
        <v>8</v>
      </c>
      <c r="BQ15" s="17">
        <v>8</v>
      </c>
      <c r="BR15" s="17">
        <v>8</v>
      </c>
      <c r="BS15" s="17">
        <v>8</v>
      </c>
      <c r="BT15" s="17">
        <v>8</v>
      </c>
      <c r="BU15" s="17">
        <v>8</v>
      </c>
      <c r="BV15" s="17">
        <v>8</v>
      </c>
      <c r="BW15" s="17">
        <v>8</v>
      </c>
      <c r="BX15" s="17">
        <v>8</v>
      </c>
      <c r="BY15" s="17">
        <v>8</v>
      </c>
      <c r="BZ15" s="17">
        <v>8</v>
      </c>
      <c r="CA15" s="17">
        <v>8</v>
      </c>
      <c r="CB15" s="17">
        <v>8</v>
      </c>
      <c r="CC15" s="17">
        <v>8</v>
      </c>
      <c r="CD15" s="17">
        <v>8</v>
      </c>
      <c r="CE15" s="17">
        <v>8</v>
      </c>
      <c r="CF15" s="17">
        <v>8</v>
      </c>
      <c r="CG15" s="17">
        <v>8</v>
      </c>
      <c r="CH15" s="17">
        <v>8</v>
      </c>
      <c r="CI15" s="17">
        <v>8</v>
      </c>
      <c r="CJ15" s="17">
        <v>8</v>
      </c>
      <c r="CK15" s="17">
        <v>8</v>
      </c>
      <c r="CL15" s="17">
        <v>8</v>
      </c>
      <c r="CM15" s="17">
        <v>8</v>
      </c>
      <c r="CN15" s="17">
        <v>8</v>
      </c>
      <c r="CO15" s="17">
        <v>8</v>
      </c>
      <c r="CP15" s="17">
        <v>8</v>
      </c>
      <c r="CQ15" s="17">
        <v>8</v>
      </c>
      <c r="CR15" s="17">
        <v>8</v>
      </c>
      <c r="CS15" s="17">
        <v>8</v>
      </c>
      <c r="CT15" s="17">
        <v>8</v>
      </c>
      <c r="CU15" s="17">
        <v>8</v>
      </c>
      <c r="CV15" s="17">
        <v>8</v>
      </c>
      <c r="CW15" s="17">
        <v>8</v>
      </c>
      <c r="CX15" s="17">
        <v>8</v>
      </c>
      <c r="CY15" s="17">
        <v>8</v>
      </c>
      <c r="CZ15" s="17">
        <v>8</v>
      </c>
      <c r="DA15" s="17">
        <v>8</v>
      </c>
      <c r="DB15" s="17">
        <v>8</v>
      </c>
      <c r="DC15" s="17">
        <v>8</v>
      </c>
      <c r="DD15" s="17">
        <v>8</v>
      </c>
      <c r="DE15" s="17">
        <v>8</v>
      </c>
      <c r="DF15" s="17">
        <v>8</v>
      </c>
      <c r="DG15" s="17">
        <v>8</v>
      </c>
      <c r="DH15" s="17">
        <v>8</v>
      </c>
      <c r="DI15" s="17">
        <v>8</v>
      </c>
      <c r="DJ15" s="17">
        <v>8</v>
      </c>
      <c r="DK15" s="17">
        <v>8</v>
      </c>
      <c r="DL15" s="17">
        <v>8</v>
      </c>
      <c r="DM15" s="17">
        <v>8</v>
      </c>
      <c r="DN15" s="17">
        <v>8</v>
      </c>
      <c r="DO15" s="17">
        <v>8</v>
      </c>
      <c r="DP15" s="17">
        <v>8</v>
      </c>
      <c r="DQ15" s="17">
        <v>8</v>
      </c>
      <c r="DR15" s="17">
        <v>8</v>
      </c>
      <c r="DS15" s="17">
        <v>8</v>
      </c>
      <c r="DT15" s="17">
        <v>8</v>
      </c>
      <c r="DU15" s="17">
        <v>8</v>
      </c>
      <c r="DV15" s="17">
        <v>8</v>
      </c>
      <c r="DW15" s="17">
        <v>8</v>
      </c>
      <c r="DX15" s="17">
        <v>8</v>
      </c>
      <c r="DY15" s="17">
        <v>8</v>
      </c>
      <c r="DZ15" s="17">
        <v>8</v>
      </c>
      <c r="EA15" s="17">
        <v>8</v>
      </c>
      <c r="EB15" s="17">
        <v>8</v>
      </c>
      <c r="EC15" s="17">
        <v>8</v>
      </c>
      <c r="ED15" s="17">
        <v>8</v>
      </c>
      <c r="EE15" s="17">
        <v>8</v>
      </c>
      <c r="EF15" s="17">
        <v>8</v>
      </c>
      <c r="EG15" s="17">
        <v>8</v>
      </c>
      <c r="EH15" s="17">
        <v>8</v>
      </c>
      <c r="EI15" s="17">
        <v>8</v>
      </c>
      <c r="EJ15" s="17">
        <v>8</v>
      </c>
      <c r="EK15" s="17">
        <v>8</v>
      </c>
      <c r="EL15" s="17">
        <v>8</v>
      </c>
      <c r="EM15" s="17">
        <v>8</v>
      </c>
      <c r="EN15" s="17">
        <v>8</v>
      </c>
      <c r="EO15" s="17">
        <v>8</v>
      </c>
      <c r="EP15" s="17">
        <v>8</v>
      </c>
      <c r="EQ15" s="17">
        <v>8</v>
      </c>
      <c r="ER15" s="17">
        <v>8</v>
      </c>
      <c r="ES15" s="17">
        <v>8</v>
      </c>
      <c r="ET15" s="17">
        <v>8</v>
      </c>
      <c r="EU15" s="17">
        <v>8</v>
      </c>
      <c r="EV15" s="17">
        <v>8</v>
      </c>
      <c r="EW15" s="17">
        <v>8</v>
      </c>
      <c r="EX15" s="17">
        <v>8</v>
      </c>
      <c r="EY15" s="17">
        <v>8</v>
      </c>
      <c r="EZ15" s="17">
        <v>8</v>
      </c>
      <c r="FA15" s="17">
        <v>8</v>
      </c>
      <c r="FB15" s="17">
        <v>8</v>
      </c>
      <c r="FC15" s="17">
        <v>8</v>
      </c>
      <c r="FD15" s="17">
        <v>8</v>
      </c>
      <c r="FE15" s="17">
        <v>8</v>
      </c>
      <c r="FF15" s="17">
        <v>8</v>
      </c>
      <c r="FG15" s="17">
        <v>8</v>
      </c>
      <c r="FH15" s="17">
        <v>8</v>
      </c>
      <c r="FI15" s="17">
        <v>8</v>
      </c>
      <c r="FJ15" s="17">
        <v>8</v>
      </c>
      <c r="FK15" s="17">
        <v>8</v>
      </c>
      <c r="FL15" s="17">
        <v>8</v>
      </c>
      <c r="FM15" s="17">
        <v>8</v>
      </c>
      <c r="FN15" s="17">
        <v>8</v>
      </c>
      <c r="FO15" s="17">
        <v>8</v>
      </c>
      <c r="FP15" s="17">
        <v>8</v>
      </c>
      <c r="FQ15" s="17">
        <v>8</v>
      </c>
      <c r="FR15" s="17">
        <v>8</v>
      </c>
      <c r="FS15" s="17">
        <v>8</v>
      </c>
      <c r="FT15" s="17">
        <v>8</v>
      </c>
      <c r="FU15" s="17">
        <v>8</v>
      </c>
      <c r="FV15" s="17">
        <v>8</v>
      </c>
      <c r="FW15" s="17">
        <v>8</v>
      </c>
      <c r="FX15" s="17">
        <v>8</v>
      </c>
      <c r="FY15" s="17">
        <v>8</v>
      </c>
      <c r="FZ15" s="17">
        <v>8</v>
      </c>
      <c r="GA15" s="17">
        <v>8</v>
      </c>
      <c r="GB15" s="17">
        <v>8</v>
      </c>
      <c r="GC15" s="17">
        <v>8</v>
      </c>
      <c r="GD15" s="17">
        <v>8</v>
      </c>
      <c r="GE15" s="17">
        <v>8</v>
      </c>
      <c r="GF15" s="17">
        <v>8</v>
      </c>
      <c r="GG15" s="17">
        <v>8</v>
      </c>
      <c r="GH15" s="17">
        <v>8</v>
      </c>
      <c r="GI15" s="17">
        <v>8</v>
      </c>
      <c r="GJ15" s="17">
        <v>8</v>
      </c>
      <c r="GK15" s="17">
        <v>8</v>
      </c>
      <c r="GL15" s="17">
        <v>8</v>
      </c>
      <c r="GM15" s="17">
        <v>8</v>
      </c>
      <c r="GN15" s="17">
        <v>8</v>
      </c>
      <c r="GO15" s="17">
        <v>8</v>
      </c>
      <c r="GP15" s="17">
        <v>8</v>
      </c>
      <c r="GQ15" s="17">
        <v>8</v>
      </c>
      <c r="GR15" s="17">
        <v>8</v>
      </c>
      <c r="GS15" s="17">
        <v>8</v>
      </c>
      <c r="GT15" s="17">
        <v>8</v>
      </c>
      <c r="GU15" s="17">
        <v>8</v>
      </c>
      <c r="GV15" s="17">
        <v>8</v>
      </c>
      <c r="GW15" s="17">
        <v>8</v>
      </c>
      <c r="GX15" s="17">
        <v>8</v>
      </c>
      <c r="GY15" s="17">
        <v>8</v>
      </c>
      <c r="GZ15" s="17">
        <v>8</v>
      </c>
      <c r="HA15" s="17">
        <v>8</v>
      </c>
      <c r="HB15" s="17">
        <v>8</v>
      </c>
      <c r="HC15" s="17">
        <v>8</v>
      </c>
      <c r="HD15" s="17">
        <v>8</v>
      </c>
      <c r="HE15" s="17">
        <v>8</v>
      </c>
      <c r="HF15" s="17">
        <v>8</v>
      </c>
      <c r="HG15" s="17">
        <v>8</v>
      </c>
      <c r="HH15" s="17">
        <v>8</v>
      </c>
      <c r="HI15" s="17">
        <v>8</v>
      </c>
      <c r="HJ15" s="17">
        <v>8</v>
      </c>
      <c r="HK15" s="17">
        <v>8</v>
      </c>
      <c r="HL15" s="17">
        <v>8</v>
      </c>
      <c r="HM15" s="17">
        <v>8</v>
      </c>
      <c r="HN15" s="17">
        <v>8</v>
      </c>
      <c r="HO15" s="17">
        <v>8</v>
      </c>
      <c r="HP15" s="17">
        <v>8</v>
      </c>
      <c r="HQ15" s="17">
        <v>8</v>
      </c>
      <c r="HR15" s="17">
        <v>8</v>
      </c>
      <c r="HS15" s="17">
        <v>8</v>
      </c>
      <c r="HT15" s="17">
        <v>8</v>
      </c>
      <c r="HU15" s="17">
        <v>8</v>
      </c>
      <c r="HV15" s="17">
        <v>8</v>
      </c>
      <c r="HW15" s="17">
        <v>8</v>
      </c>
      <c r="HX15" s="17">
        <v>8</v>
      </c>
      <c r="HY15" s="17">
        <v>8</v>
      </c>
      <c r="HZ15" s="17">
        <v>8</v>
      </c>
      <c r="IA15" s="17">
        <v>8</v>
      </c>
      <c r="IB15" s="17">
        <v>8</v>
      </c>
      <c r="IC15" s="17">
        <v>8</v>
      </c>
      <c r="ID15" s="17">
        <v>8</v>
      </c>
      <c r="IE15" s="17">
        <v>8</v>
      </c>
      <c r="IF15" s="17">
        <v>8</v>
      </c>
      <c r="IG15" s="17">
        <v>8</v>
      </c>
      <c r="IH15" s="17">
        <v>8</v>
      </c>
      <c r="II15" s="17">
        <v>8</v>
      </c>
      <c r="IJ15" s="17">
        <v>8</v>
      </c>
      <c r="IK15" s="17">
        <v>8</v>
      </c>
      <c r="IL15" s="17">
        <v>8</v>
      </c>
      <c r="IM15" s="17">
        <v>8</v>
      </c>
      <c r="IN15" s="17">
        <v>8</v>
      </c>
      <c r="IO15" s="17">
        <v>8</v>
      </c>
      <c r="IP15" s="17">
        <v>8</v>
      </c>
      <c r="IQ15" s="17">
        <v>8</v>
      </c>
      <c r="IR15" s="17">
        <v>8</v>
      </c>
      <c r="IS15" s="17">
        <v>8</v>
      </c>
      <c r="IT15" s="17">
        <v>8</v>
      </c>
      <c r="IU15" s="17">
        <v>8</v>
      </c>
      <c r="IV15" s="17">
        <v>8</v>
      </c>
      <c r="IW15" s="1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2EE66-228A-2518-70F3-1F10F9CB6151}">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2" width="9.140625" hidden="1"/>
    <col min="3" max="3" width="3.7109375" hidden="1" customWidth="1"/>
    <col min="4" max="4" width="3" customWidth="1"/>
    <col min="5" max="5" width="6" customWidth="1"/>
    <col min="6" max="6" width="27" customWidth="1"/>
    <col min="7" max="7" width="29" customWidth="1"/>
    <col min="8" max="8" width="25" customWidth="1"/>
    <col min="9" max="9" width="5" customWidth="1"/>
    <col min="10" max="10" width="6" customWidth="1"/>
    <col min="11" max="11" width="41" customWidth="1"/>
    <col min="12" max="12" width="42" customWidth="1"/>
    <col min="13" max="13" width="41" customWidth="1"/>
    <col min="14" max="14" width="89" customWidth="1"/>
    <col min="15" max="15" width="3" customWidth="1"/>
    <col min="16" max="16" width="8" customWidth="1"/>
    <col min="17" max="17" width="9.140625" hidden="1"/>
  </cols>
  <sheetData>
    <row r="1" spans="1:17" ht="22.5" hidden="1" customHeight="1">
      <c r="Q1" s="17" t="s">
        <v>14</v>
      </c>
    </row>
    <row r="2" spans="1:17" ht="22.5" hidden="1" customHeight="1">
      <c r="B2" s="37">
        <v>1</v>
      </c>
      <c r="D2" s="588" t="s">
        <v>690</v>
      </c>
      <c r="E2" s="995">
        <v>1</v>
      </c>
      <c r="F2" s="1150" t="str">
        <f>IF(region_name="","",region_name)</f>
        <v>г. Москва</v>
      </c>
      <c r="G2" s="1291"/>
      <c r="H2" s="1292"/>
      <c r="I2" s="197"/>
      <c r="J2" s="22">
        <v>1</v>
      </c>
      <c r="K2" s="273"/>
      <c r="L2" s="273"/>
      <c r="M2" s="273"/>
      <c r="N2" s="207"/>
      <c r="Q2" s="97">
        <v>0</v>
      </c>
    </row>
    <row r="3" spans="1:17" ht="22.5" hidden="1" customHeight="1">
      <c r="E3" s="995"/>
      <c r="F3" s="1150"/>
      <c r="G3" s="1291"/>
      <c r="H3" s="1293"/>
      <c r="I3" s="98"/>
      <c r="J3" s="437"/>
      <c r="K3" s="437" t="s">
        <v>1882</v>
      </c>
      <c r="L3" s="743"/>
      <c r="M3" s="744"/>
      <c r="N3" s="745"/>
      <c r="Q3" s="97">
        <v>0</v>
      </c>
    </row>
    <row r="4" spans="1:17" ht="5.25" hidden="1" customHeight="1">
      <c r="F4" s="72" t="s">
        <v>83</v>
      </c>
      <c r="G4" s="73" t="s">
        <v>84</v>
      </c>
      <c r="J4" s="746"/>
      <c r="O4" s="72" t="s">
        <v>83</v>
      </c>
      <c r="Q4" s="75">
        <v>0</v>
      </c>
    </row>
    <row r="5" spans="1:17" ht="22.5" hidden="1" customHeight="1">
      <c r="B5" s="37">
        <v>1</v>
      </c>
      <c r="E5" s="745"/>
      <c r="F5" s="745"/>
      <c r="G5" s="745"/>
      <c r="H5" s="747"/>
      <c r="I5" s="748" t="s">
        <v>690</v>
      </c>
      <c r="J5" s="78">
        <v>1</v>
      </c>
      <c r="K5" s="273"/>
      <c r="L5" s="273"/>
      <c r="M5" s="273"/>
      <c r="N5" s="207"/>
      <c r="Q5" s="97">
        <v>0</v>
      </c>
    </row>
    <row r="6" spans="1:17" ht="14.65" customHeight="1">
      <c r="Q6" s="77">
        <v>14</v>
      </c>
    </row>
    <row r="7" spans="1:17" ht="27.4" customHeight="1">
      <c r="E7" s="12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285"/>
      <c r="G7" s="1285"/>
      <c r="H7" s="1285"/>
      <c r="I7" s="1285"/>
      <c r="J7" s="1285"/>
      <c r="K7" s="1285"/>
      <c r="L7" s="1285"/>
      <c r="M7" s="1285"/>
      <c r="Q7" s="77">
        <v>26</v>
      </c>
    </row>
    <row r="8" spans="1:17" ht="14.65" customHeight="1">
      <c r="Q8" s="77">
        <v>14</v>
      </c>
    </row>
    <row r="9" spans="1:17" ht="14.25" hidden="1" customHeight="1">
      <c r="E9" s="749"/>
      <c r="F9" s="749"/>
      <c r="G9" s="749"/>
      <c r="H9" s="749"/>
      <c r="I9" s="1288"/>
      <c r="J9" s="1288"/>
      <c r="K9" s="1288"/>
      <c r="L9" s="749"/>
      <c r="M9" s="750"/>
      <c r="Q9" s="751">
        <v>0</v>
      </c>
    </row>
    <row r="10" spans="1:17" ht="14.65" customHeight="1">
      <c r="E10" s="995" t="s">
        <v>301</v>
      </c>
      <c r="F10" s="995"/>
      <c r="G10" s="995"/>
      <c r="H10" s="995"/>
      <c r="I10" s="995"/>
      <c r="J10" s="995"/>
      <c r="K10" s="995"/>
      <c r="L10" s="995"/>
      <c r="M10" s="977"/>
      <c r="N10" s="1278" t="s">
        <v>302</v>
      </c>
      <c r="Q10" s="77">
        <v>14</v>
      </c>
    </row>
    <row r="11" spans="1:17" ht="44.25" customHeight="1">
      <c r="E11" s="1287" t="s">
        <v>88</v>
      </c>
      <c r="F11" s="1287" t="s">
        <v>305</v>
      </c>
      <c r="G11" s="1287" t="s">
        <v>1883</v>
      </c>
      <c r="H11" s="1287"/>
      <c r="I11" s="1287" t="s">
        <v>1884</v>
      </c>
      <c r="J11" s="1287"/>
      <c r="K11" s="1287"/>
      <c r="L11" s="1287" t="s">
        <v>1885</v>
      </c>
      <c r="M11" s="1280" t="s">
        <v>1886</v>
      </c>
      <c r="N11" s="1286"/>
      <c r="Q11" s="77">
        <v>42</v>
      </c>
    </row>
    <row r="12" spans="1:17" ht="29.25" customHeight="1">
      <c r="E12" s="1278"/>
      <c r="F12" s="1287"/>
      <c r="G12" s="81" t="s">
        <v>1887</v>
      </c>
      <c r="H12" s="81" t="s">
        <v>309</v>
      </c>
      <c r="I12" s="1287"/>
      <c r="J12" s="1287"/>
      <c r="K12" s="1287"/>
      <c r="L12" s="1287"/>
      <c r="M12" s="1280"/>
      <c r="N12" s="1279"/>
      <c r="Q12" s="77">
        <v>28</v>
      </c>
    </row>
    <row r="13" spans="1:17" ht="23.25" customHeight="1">
      <c r="A13" s="980">
        <v>26379339</v>
      </c>
      <c r="B13" s="37">
        <v>1</v>
      </c>
      <c r="E13" s="995">
        <v>1</v>
      </c>
      <c r="F13" s="1294" t="str">
        <f>IF(region_name="","",region_name)</f>
        <v>г. Москва</v>
      </c>
      <c r="G13" s="1295"/>
      <c r="H13" s="1289"/>
      <c r="I13" s="197"/>
      <c r="J13" s="93">
        <v>1</v>
      </c>
      <c r="K13" s="752"/>
      <c r="L13" s="753"/>
      <c r="M13" s="753"/>
      <c r="N13" s="1283" t="s">
        <v>1888</v>
      </c>
      <c r="Q13" s="97">
        <v>22</v>
      </c>
    </row>
    <row r="14" spans="1:17" ht="23.25" customHeight="1">
      <c r="A14" s="964"/>
      <c r="E14" s="995"/>
      <c r="F14" s="1294"/>
      <c r="G14" s="1295"/>
      <c r="H14" s="1290"/>
      <c r="I14" s="98"/>
      <c r="J14" s="437"/>
      <c r="K14" s="437" t="s">
        <v>1882</v>
      </c>
      <c r="L14" s="743"/>
      <c r="M14" s="743"/>
      <c r="N14" s="1284"/>
      <c r="Q14" s="97">
        <v>22</v>
      </c>
    </row>
    <row r="15" spans="1:17" ht="23.25" customHeight="1">
      <c r="A15" s="964"/>
      <c r="E15" s="98"/>
      <c r="F15" s="437" t="s">
        <v>1874</v>
      </c>
      <c r="G15" s="733"/>
      <c r="H15" s="733"/>
      <c r="I15" s="101"/>
      <c r="J15" s="101"/>
      <c r="K15" s="101"/>
      <c r="L15" s="101"/>
      <c r="M15" s="101"/>
      <c r="N15" s="1284"/>
      <c r="Q15" s="97">
        <v>22</v>
      </c>
    </row>
    <row r="16" spans="1:17" ht="21.95" customHeight="1">
      <c r="E16" s="107"/>
      <c r="F16" s="107"/>
      <c r="G16" s="107"/>
      <c r="H16" s="107"/>
      <c r="I16" s="107"/>
      <c r="J16" s="107"/>
      <c r="K16" s="107"/>
      <c r="L16" s="107"/>
      <c r="Q16" s="77">
        <v>21</v>
      </c>
    </row>
    <row r="17" spans="1:17" ht="14.65" customHeight="1">
      <c r="Q17" s="77">
        <v>14</v>
      </c>
    </row>
    <row r="18" spans="1:17" ht="1.1499999999999999" customHeight="1">
      <c r="Q18" s="77">
        <v>1</v>
      </c>
    </row>
    <row r="19" spans="1:17" ht="22.5" hidden="1" customHeight="1">
      <c r="A19" s="17" t="s">
        <v>82</v>
      </c>
      <c r="B19" s="37">
        <v>0</v>
      </c>
      <c r="C19" s="17">
        <v>0</v>
      </c>
      <c r="D19" s="109">
        <v>3</v>
      </c>
      <c r="E19" s="17">
        <v>6</v>
      </c>
      <c r="F19" s="17">
        <v>27</v>
      </c>
      <c r="G19" s="17">
        <v>29</v>
      </c>
      <c r="H19" s="17">
        <v>25</v>
      </c>
      <c r="I19" s="17">
        <v>5</v>
      </c>
      <c r="J19" s="17">
        <v>6</v>
      </c>
      <c r="K19" s="17">
        <v>41</v>
      </c>
      <c r="L19" s="17">
        <v>42</v>
      </c>
      <c r="M19" s="17">
        <v>41</v>
      </c>
      <c r="N19" s="17">
        <v>89</v>
      </c>
      <c r="O19" s="87">
        <v>3</v>
      </c>
      <c r="P19" s="87">
        <v>8</v>
      </c>
      <c r="Q19" s="17">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59241-43EA-7FA3-4243-1680D39F838F}">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hidden="1"/>
    <col min="3" max="3" width="3" customWidth="1"/>
    <col min="4" max="4" width="6" customWidth="1"/>
    <col min="5" max="5" width="22" customWidth="1"/>
    <col min="6" max="6" width="15" customWidth="1"/>
    <col min="7" max="7" width="14" customWidth="1"/>
    <col min="8" max="8" width="47" customWidth="1"/>
    <col min="9" max="9" width="115" customWidth="1"/>
    <col min="10" max="10" width="3" customWidth="1"/>
    <col min="11" max="12" width="8" customWidth="1"/>
    <col min="13" max="13" width="9.140625" hidden="1"/>
  </cols>
  <sheetData>
    <row r="1" spans="1:13" ht="14.25" hidden="1" customHeight="1">
      <c r="M1" s="163" t="s">
        <v>14</v>
      </c>
    </row>
    <row r="2" spans="1:13" ht="14.25" hidden="1" customHeight="1">
      <c r="M2" s="163">
        <v>0</v>
      </c>
    </row>
    <row r="3" spans="1:13" ht="14.25" hidden="1" customHeight="1">
      <c r="M3" s="163">
        <v>0</v>
      </c>
    </row>
    <row r="4" spans="1:13" ht="3" customHeight="1">
      <c r="M4" s="163">
        <v>3</v>
      </c>
    </row>
    <row r="5" spans="1:13" ht="31.5" customHeight="1">
      <c r="C5" s="220"/>
      <c r="D5" s="981" t="s">
        <v>1889</v>
      </c>
      <c r="E5" s="981"/>
      <c r="F5" s="981"/>
      <c r="G5" s="981"/>
      <c r="H5" s="981"/>
      <c r="M5" s="17">
        <v>30</v>
      </c>
    </row>
    <row r="6" spans="1:13" ht="3" hidden="1" customHeight="1">
      <c r="D6" s="179"/>
      <c r="E6" s="179"/>
      <c r="F6" s="179"/>
      <c r="G6" s="179"/>
      <c r="H6" s="179"/>
      <c r="I6" s="179"/>
      <c r="M6" s="163">
        <v>0</v>
      </c>
    </row>
    <row r="7" spans="1:13" ht="14.65" customHeight="1">
      <c r="D7" s="754"/>
      <c r="E7" s="754"/>
      <c r="F7" s="754"/>
      <c r="G7" s="754"/>
      <c r="H7" s="184"/>
      <c r="I7" s="754"/>
      <c r="J7" s="755"/>
      <c r="M7" s="177">
        <v>14</v>
      </c>
    </row>
    <row r="8" spans="1:13" ht="14.65" customHeight="1">
      <c r="D8" s="1073" t="s">
        <v>301</v>
      </c>
      <c r="E8" s="1073"/>
      <c r="F8" s="1073"/>
      <c r="G8" s="1073"/>
      <c r="H8" s="1073"/>
      <c r="I8" s="1073" t="s">
        <v>302</v>
      </c>
      <c r="M8" s="163">
        <v>14</v>
      </c>
    </row>
    <row r="9" spans="1:13" ht="29.25" customHeight="1">
      <c r="D9" s="1073" t="s">
        <v>88</v>
      </c>
      <c r="E9" s="1073" t="s">
        <v>1890</v>
      </c>
      <c r="F9" s="1073"/>
      <c r="G9" s="1073"/>
      <c r="H9" s="1073"/>
      <c r="I9" s="1073"/>
      <c r="M9" s="163">
        <v>28</v>
      </c>
    </row>
    <row r="10" spans="1:13" ht="24" customHeight="1">
      <c r="D10" s="1073"/>
      <c r="E10" s="189" t="s">
        <v>1891</v>
      </c>
      <c r="F10" s="189" t="s">
        <v>1892</v>
      </c>
      <c r="G10" s="189" t="s">
        <v>1893</v>
      </c>
      <c r="H10" s="189" t="s">
        <v>391</v>
      </c>
      <c r="I10" s="1073"/>
      <c r="M10" s="163">
        <v>23</v>
      </c>
    </row>
    <row r="11" spans="1:13" ht="12" hidden="1" customHeight="1">
      <c r="D11" s="253" t="s">
        <v>110</v>
      </c>
      <c r="E11" s="253" t="s">
        <v>91</v>
      </c>
      <c r="F11" s="253" t="s">
        <v>112</v>
      </c>
      <c r="G11" s="253" t="s">
        <v>92</v>
      </c>
      <c r="H11" s="253" t="s">
        <v>93</v>
      </c>
      <c r="I11" s="253" t="s">
        <v>113</v>
      </c>
      <c r="M11" s="163">
        <v>0</v>
      </c>
    </row>
    <row r="12" spans="1:13" ht="26.25" customHeight="1">
      <c r="A12" s="640" t="s">
        <v>90</v>
      </c>
      <c r="B12" t="s">
        <v>22</v>
      </c>
      <c r="D12" s="121" t="s">
        <v>110</v>
      </c>
      <c r="E12" s="273"/>
      <c r="F12" s="273"/>
      <c r="G12" s="315" t="s">
        <v>22</v>
      </c>
      <c r="H12" s="287"/>
      <c r="I12" s="1031" t="s">
        <v>1894</v>
      </c>
      <c r="M12" s="163">
        <v>25</v>
      </c>
    </row>
    <row r="13" spans="1:13" ht="15.75" customHeight="1">
      <c r="D13" s="534"/>
      <c r="E13" s="105" t="s">
        <v>469</v>
      </c>
      <c r="F13" s="631"/>
      <c r="G13" s="631"/>
      <c r="H13" s="535"/>
      <c r="I13" s="1033"/>
      <c r="M13" s="163">
        <v>15</v>
      </c>
    </row>
    <row r="14" spans="1:13" ht="3" customHeight="1">
      <c r="M14" s="163">
        <v>3</v>
      </c>
    </row>
    <row r="15" spans="1:13" ht="29.25" customHeight="1">
      <c r="E15" s="1296" t="s">
        <v>1895</v>
      </c>
      <c r="F15" s="964"/>
      <c r="G15" s="964"/>
      <c r="H15" s="964"/>
      <c r="M15" s="163">
        <v>28</v>
      </c>
    </row>
    <row r="16" spans="1:13" ht="14.25" hidden="1" customHeight="1">
      <c r="A16" s="177" t="s">
        <v>82</v>
      </c>
      <c r="B16" s="163">
        <v>0</v>
      </c>
      <c r="C16" s="756">
        <v>3</v>
      </c>
      <c r="D16" s="163">
        <v>6</v>
      </c>
      <c r="E16" s="163">
        <v>22</v>
      </c>
      <c r="F16" s="163">
        <v>15</v>
      </c>
      <c r="G16" s="163">
        <v>14</v>
      </c>
      <c r="H16" s="163">
        <v>47</v>
      </c>
      <c r="I16" s="163">
        <v>115</v>
      </c>
      <c r="J16" s="163">
        <v>3</v>
      </c>
      <c r="K16" s="163">
        <v>8</v>
      </c>
      <c r="L16" s="163">
        <v>8</v>
      </c>
      <c r="M16" s="16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57E5-58DA-DBFB-6B55-9B69640E155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hidden="1"/>
    <col min="3" max="3" width="3" customWidth="1"/>
    <col min="4" max="4" width="6" customWidth="1"/>
    <col min="5" max="5" width="94" customWidth="1"/>
    <col min="6" max="9" width="8" customWidth="1"/>
    <col min="10" max="10" width="9.140625" hidden="1"/>
  </cols>
  <sheetData>
    <row r="1" spans="1:10" ht="14.25" hidden="1" customHeight="1">
      <c r="J1" s="757" t="s">
        <v>14</v>
      </c>
    </row>
    <row r="2" spans="1:10" ht="14.25" hidden="1" customHeight="1">
      <c r="J2" s="757">
        <v>0</v>
      </c>
    </row>
    <row r="3" spans="1:10" ht="14.25" hidden="1" customHeight="1">
      <c r="J3" s="757">
        <v>0</v>
      </c>
    </row>
    <row r="4" spans="1:10" ht="14.25" hidden="1" customHeight="1">
      <c r="J4" s="757">
        <v>0</v>
      </c>
    </row>
    <row r="5" spans="1:10" ht="14.25" hidden="1" customHeight="1">
      <c r="J5" s="757">
        <v>0</v>
      </c>
    </row>
    <row r="6" spans="1:10" ht="3" customHeight="1">
      <c r="C6" s="758"/>
      <c r="D6" s="179"/>
      <c r="E6" s="179"/>
      <c r="J6" s="757">
        <v>3</v>
      </c>
    </row>
    <row r="7" spans="1:10" ht="23.25" customHeight="1">
      <c r="C7" s="758"/>
      <c r="D7" s="1297" t="s">
        <v>1896</v>
      </c>
      <c r="E7" s="1298"/>
      <c r="J7" s="757">
        <v>22</v>
      </c>
    </row>
    <row r="8" spans="1:10" ht="3" customHeight="1">
      <c r="C8" s="758"/>
      <c r="D8" s="179"/>
      <c r="E8" s="179"/>
      <c r="J8" s="757">
        <v>3</v>
      </c>
    </row>
    <row r="9" spans="1:10" ht="16.899999999999999" customHeight="1">
      <c r="C9" s="758"/>
      <c r="D9" s="189" t="s">
        <v>88</v>
      </c>
      <c r="E9" s="88" t="s">
        <v>1897</v>
      </c>
      <c r="J9" s="757">
        <v>16</v>
      </c>
    </row>
    <row r="10" spans="1:10" ht="1.1499999999999999" customHeight="1">
      <c r="C10" s="758"/>
      <c r="D10" s="253"/>
      <c r="E10" s="253"/>
      <c r="J10" s="757">
        <v>1</v>
      </c>
    </row>
    <row r="11" spans="1:10" ht="11.25" hidden="1" customHeight="1">
      <c r="C11" s="758"/>
      <c r="D11" s="759">
        <v>0</v>
      </c>
      <c r="E11" s="760"/>
      <c r="J11" s="757">
        <v>0</v>
      </c>
    </row>
    <row r="12" spans="1:10" ht="15.75" customHeight="1">
      <c r="C12" s="220"/>
      <c r="D12" s="531">
        <v>1</v>
      </c>
      <c r="E12" s="273"/>
      <c r="J12" s="757">
        <v>15</v>
      </c>
    </row>
    <row r="13" spans="1:10" ht="12.75" customHeight="1">
      <c r="C13" s="758"/>
      <c r="D13" s="267"/>
      <c r="E13" s="761" t="s">
        <v>1898</v>
      </c>
      <c r="J13" s="757">
        <v>12</v>
      </c>
    </row>
    <row r="14" spans="1:10" ht="3" customHeight="1">
      <c r="J14" s="757">
        <v>3</v>
      </c>
    </row>
    <row r="15" spans="1:10" ht="23.25" customHeight="1">
      <c r="D15" s="1296" t="s">
        <v>1899</v>
      </c>
      <c r="E15" s="964"/>
      <c r="J15" s="757">
        <v>22</v>
      </c>
    </row>
    <row r="16" spans="1:10" ht="14.25" hidden="1" customHeight="1">
      <c r="A16" s="757" t="s">
        <v>82</v>
      </c>
      <c r="B16" s="757">
        <v>0</v>
      </c>
      <c r="C16" s="762">
        <v>3</v>
      </c>
      <c r="D16" s="757">
        <v>6</v>
      </c>
      <c r="E16" s="757">
        <v>94</v>
      </c>
      <c r="F16" s="757">
        <v>8</v>
      </c>
      <c r="G16" s="757">
        <v>8</v>
      </c>
      <c r="H16" s="757">
        <v>8</v>
      </c>
      <c r="I16" s="757">
        <v>8</v>
      </c>
      <c r="J16" s="75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DAC4-7437-6E5C-C671-4F3A7DAF5909}">
  <sheetPr>
    <tabColor rgb="FFCCCCFF"/>
    <pageSetUpPr fitToPage="1"/>
  </sheetPr>
  <dimension ref="A1:M13"/>
  <sheetViews>
    <sheetView showGridLines="0" topLeftCell="C6" zoomScale="90" workbookViewId="0"/>
  </sheetViews>
  <sheetFormatPr defaultColWidth="9.140625" defaultRowHeight="14.25" customHeight="1"/>
  <cols>
    <col min="1" max="2" width="9.140625" hidden="1"/>
    <col min="3" max="3" width="3" customWidth="1"/>
    <col min="4" max="4" width="6" customWidth="1"/>
    <col min="5" max="5" width="94" customWidth="1"/>
    <col min="6" max="12" width="8" customWidth="1"/>
    <col min="13" max="13" width="9.140625" hidden="1"/>
  </cols>
  <sheetData>
    <row r="1" spans="1:13" ht="14.25" hidden="1" customHeight="1">
      <c r="M1" s="757" t="s">
        <v>14</v>
      </c>
    </row>
    <row r="2" spans="1:13" ht="14.25" hidden="1" customHeight="1">
      <c r="M2" s="757">
        <v>0</v>
      </c>
    </row>
    <row r="3" spans="1:13" ht="14.25" hidden="1" customHeight="1">
      <c r="M3" s="757">
        <v>0</v>
      </c>
    </row>
    <row r="4" spans="1:13" ht="14.25" hidden="1" customHeight="1">
      <c r="M4" s="757">
        <v>0</v>
      </c>
    </row>
    <row r="5" spans="1:13" ht="14.25" hidden="1" customHeight="1">
      <c r="M5" s="757">
        <v>0</v>
      </c>
    </row>
    <row r="6" spans="1:13" ht="3" customHeight="1">
      <c r="C6" s="758"/>
      <c r="D6" s="179"/>
      <c r="E6" s="179"/>
      <c r="M6" s="757">
        <v>3</v>
      </c>
    </row>
    <row r="7" spans="1:13" ht="23.25" customHeight="1">
      <c r="C7" s="758"/>
      <c r="D7" s="981" t="s">
        <v>1900</v>
      </c>
      <c r="E7" s="981"/>
      <c r="M7" s="757">
        <v>22</v>
      </c>
    </row>
    <row r="8" spans="1:13" ht="3" customHeight="1">
      <c r="C8" s="758"/>
      <c r="D8" s="179"/>
      <c r="E8" s="179"/>
      <c r="M8" s="757">
        <v>3</v>
      </c>
    </row>
    <row r="9" spans="1:13" ht="16.899999999999999" customHeight="1">
      <c r="C9" s="758"/>
      <c r="D9" s="189" t="s">
        <v>88</v>
      </c>
      <c r="E9" s="134" t="s">
        <v>288</v>
      </c>
      <c r="M9" s="757">
        <v>16</v>
      </c>
    </row>
    <row r="10" spans="1:13" ht="12.75" customHeight="1">
      <c r="C10" s="758"/>
      <c r="D10" s="253" t="s">
        <v>110</v>
      </c>
      <c r="E10" s="253" t="s">
        <v>111</v>
      </c>
      <c r="M10" s="757">
        <v>12</v>
      </c>
    </row>
    <row r="11" spans="1:13" ht="15" hidden="1" customHeight="1">
      <c r="C11" s="758"/>
      <c r="D11" s="531">
        <v>0</v>
      </c>
      <c r="E11" s="278"/>
      <c r="M11" s="757">
        <v>0</v>
      </c>
    </row>
    <row r="12" spans="1:13" ht="14.65" customHeight="1">
      <c r="C12" s="758"/>
      <c r="D12" s="534"/>
      <c r="E12" s="761" t="s">
        <v>1898</v>
      </c>
      <c r="M12" s="757">
        <v>14</v>
      </c>
    </row>
    <row r="13" spans="1:13" ht="14.25" hidden="1" customHeight="1">
      <c r="A13" s="757" t="s">
        <v>82</v>
      </c>
      <c r="B13" s="757">
        <v>0</v>
      </c>
      <c r="C13" s="762">
        <v>3</v>
      </c>
      <c r="D13" s="757">
        <v>6</v>
      </c>
      <c r="E13" s="757">
        <v>94</v>
      </c>
      <c r="F13" s="757">
        <v>8</v>
      </c>
      <c r="G13" s="757">
        <v>8</v>
      </c>
      <c r="H13" s="757">
        <v>8</v>
      </c>
      <c r="I13" s="757">
        <v>8</v>
      </c>
      <c r="J13" s="757">
        <v>8</v>
      </c>
      <c r="K13" s="757">
        <v>8</v>
      </c>
      <c r="L13" s="757">
        <v>8</v>
      </c>
      <c r="M13" s="75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57A5-4745-3213-C733-C32EFDDB6E2D}">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s="97" t="s">
        <v>14</v>
      </c>
    </row>
    <row r="2" spans="1:6" ht="22.5" customHeight="1">
      <c r="B2" s="1299" t="s">
        <v>1901</v>
      </c>
      <c r="C2" s="1299"/>
      <c r="D2" s="1299"/>
      <c r="F2" s="97">
        <v>22</v>
      </c>
    </row>
    <row r="3" spans="1:6" ht="3" customHeight="1">
      <c r="F3" s="97">
        <v>3</v>
      </c>
    </row>
    <row r="4" spans="1:6" ht="23.25" customHeight="1">
      <c r="B4" s="763" t="s">
        <v>1902</v>
      </c>
      <c r="C4" s="763" t="s">
        <v>1903</v>
      </c>
      <c r="D4" s="763" t="s">
        <v>1904</v>
      </c>
      <c r="F4" s="97">
        <v>22</v>
      </c>
    </row>
    <row r="5" spans="1:6" ht="11.25" hidden="1" customHeight="1">
      <c r="A5" s="97" t="s">
        <v>82</v>
      </c>
      <c r="B5" s="97">
        <v>34</v>
      </c>
      <c r="C5" s="97">
        <v>85</v>
      </c>
      <c r="D5" s="97">
        <v>17</v>
      </c>
      <c r="E5" s="97">
        <v>8</v>
      </c>
      <c r="F5" s="97">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78AD-9187-52F5-E5A2-A9E66E200695}">
  <sheetPr>
    <tabColor rgb="FFFFCC99"/>
  </sheetPr>
  <dimension ref="A2:FW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15" ht="17.25" customHeight="1">
      <c r="A2" s="764" t="s">
        <v>1905</v>
      </c>
    </row>
    <row r="4" spans="1:15" ht="15" customHeight="1">
      <c r="C4" s="220"/>
      <c r="D4" s="531"/>
      <c r="E4" s="273"/>
    </row>
    <row r="6" spans="1:15" ht="17.25" customHeight="1">
      <c r="A6" s="764" t="s">
        <v>1906</v>
      </c>
    </row>
    <row r="8" spans="1:15" ht="17.25" customHeight="1">
      <c r="C8" s="765"/>
      <c r="D8" s="531"/>
      <c r="E8" s="225"/>
    </row>
    <row r="11" spans="1:15" ht="17.25" customHeight="1">
      <c r="A11" s="764" t="s">
        <v>1907</v>
      </c>
    </row>
    <row r="13" spans="1:15" ht="15" customHeight="1">
      <c r="A13" s="1090">
        <v>1</v>
      </c>
      <c r="C13" s="766" t="s">
        <v>690</v>
      </c>
      <c r="E13" s="88">
        <f>A13</f>
        <v>1</v>
      </c>
      <c r="F13" s="136"/>
      <c r="G13" s="90" t="str">
        <f>"Территория "&amp;E13</f>
        <v>Территория 1</v>
      </c>
      <c r="H13" s="91"/>
      <c r="I13" s="91"/>
    </row>
    <row r="14" spans="1:15" ht="15" customHeight="1">
      <c r="A14" s="964"/>
      <c r="B14" s="37">
        <v>1</v>
      </c>
      <c r="D14" s="92"/>
      <c r="E14" s="93" t="str">
        <f>A13&amp;"."&amp;B14</f>
        <v>1.1</v>
      </c>
      <c r="F14" s="345">
        <f>$F$20</f>
        <v>0</v>
      </c>
      <c r="G14" s="95"/>
      <c r="H14" s="95"/>
      <c r="I14" s="96"/>
      <c r="M14" s="87" t="str">
        <f t="array" ref="M14">IF(ISERROR(MATCH(MID(N14,1,250),MID(note_ter,1,250),0)),"n","y")</f>
        <v>n</v>
      </c>
      <c r="O14" s="87" t="str">
        <f>H14&amp;"("&amp;I14&amp;")"</f>
        <v>()</v>
      </c>
    </row>
    <row r="15" spans="1:15" ht="15" customHeight="1">
      <c r="A15" s="964"/>
      <c r="E15" s="98"/>
      <c r="F15" s="99"/>
      <c r="G15" s="100" t="s">
        <v>103</v>
      </c>
      <c r="H15" s="101"/>
      <c r="I15" s="102"/>
    </row>
    <row r="17" spans="1:26" ht="17.25" customHeight="1">
      <c r="A17" s="764" t="s">
        <v>1908</v>
      </c>
    </row>
    <row r="19" spans="1:26" ht="15" customHeight="1">
      <c r="B19" s="37">
        <v>1</v>
      </c>
      <c r="D19" s="92" t="s">
        <v>690</v>
      </c>
      <c r="E19" s="88"/>
      <c r="F19" s="305">
        <f>$F$20</f>
        <v>0</v>
      </c>
      <c r="G19" s="767"/>
      <c r="H19" s="767"/>
      <c r="I19" s="768"/>
      <c r="M19" s="87" t="str">
        <f t="array" ref="M19">IF(ISERROR(MATCH(MID(N19,1,250),MID(note_ter,1,250),0)),"n","y")</f>
        <v>n</v>
      </c>
      <c r="O19" s="87" t="str">
        <f>H19&amp;"("&amp;I19&amp;")"</f>
        <v>()</v>
      </c>
    </row>
    <row r="21" spans="1:26" ht="15" customHeight="1">
      <c r="A21" s="764" t="s">
        <v>1909</v>
      </c>
      <c r="B21" s="764"/>
      <c r="C21" s="764"/>
      <c r="D21" s="764"/>
      <c r="E21" s="764"/>
      <c r="F21" s="764"/>
      <c r="G21" s="764"/>
      <c r="H21" s="764"/>
      <c r="I21" s="764"/>
      <c r="J21" s="764"/>
      <c r="K21" s="764"/>
      <c r="L21" s="764"/>
      <c r="M21" s="764"/>
      <c r="N21" s="764"/>
      <c r="O21" s="764"/>
      <c r="P21" s="764"/>
      <c r="Q21" s="764"/>
      <c r="R21" s="764"/>
      <c r="S21" s="764"/>
      <c r="T21" s="764"/>
      <c r="U21" s="769"/>
      <c r="V21" s="764"/>
      <c r="W21" s="764"/>
    </row>
    <row r="22" spans="1:26" ht="15" customHeight="1"/>
    <row r="23" spans="1:26" ht="15" customHeight="1">
      <c r="C23" s="577" t="s">
        <v>690</v>
      </c>
      <c r="D23" s="1005" t="s">
        <v>110</v>
      </c>
      <c r="E23" s="1006"/>
      <c r="F23" s="1004" t="s">
        <v>19</v>
      </c>
      <c r="G23" s="1339"/>
      <c r="H23" s="995">
        <v>1</v>
      </c>
      <c r="I23" s="1341" t="str">
        <f>IF(U23="","",INDEX(TERRITORY_MR_LIST,MATCH(U23,TERRITORY_LIST_ID,0)))</f>
        <v/>
      </c>
      <c r="J23" s="1004" t="s">
        <v>19</v>
      </c>
      <c r="K23" s="770"/>
      <c r="L23" s="121" t="s">
        <v>110</v>
      </c>
      <c r="M23" s="771"/>
      <c r="Y23" s="126" t="s">
        <v>121</v>
      </c>
      <c r="Z23" s="126">
        <v>1705000</v>
      </c>
    </row>
    <row r="24" spans="1:26" ht="15" customHeight="1">
      <c r="D24" s="1005"/>
      <c r="E24" s="1007"/>
      <c r="F24" s="1004"/>
      <c r="G24" s="1340"/>
      <c r="H24" s="995"/>
      <c r="I24" s="1342"/>
      <c r="J24" s="1004"/>
      <c r="K24" s="98"/>
      <c r="L24" s="99"/>
      <c r="M24" s="127" t="s">
        <v>122</v>
      </c>
    </row>
    <row r="25" spans="1:26" ht="15" customHeight="1">
      <c r="D25" s="1005"/>
      <c r="E25" s="1008"/>
      <c r="F25" s="1004"/>
      <c r="G25" s="98"/>
      <c r="H25" s="99"/>
      <c r="I25" s="100" t="s">
        <v>123</v>
      </c>
      <c r="J25" s="99"/>
      <c r="K25" s="99"/>
      <c r="L25" s="99"/>
      <c r="M25" s="130"/>
    </row>
    <row r="26" spans="1:26" ht="15" customHeight="1"/>
    <row r="27" spans="1:26" ht="15" customHeight="1">
      <c r="A27" s="764" t="s">
        <v>1910</v>
      </c>
      <c r="B27" s="764"/>
      <c r="C27" s="764"/>
      <c r="D27" s="764"/>
      <c r="E27" s="764"/>
      <c r="F27" s="764"/>
      <c r="G27" s="764"/>
      <c r="H27" s="764"/>
      <c r="I27" s="764"/>
      <c r="J27" s="764"/>
      <c r="K27" s="764"/>
      <c r="L27" s="764"/>
      <c r="M27" s="764"/>
      <c r="N27" s="764"/>
      <c r="O27" s="764"/>
      <c r="P27" s="764"/>
      <c r="Q27" s="764"/>
      <c r="R27" s="764"/>
      <c r="S27" s="764"/>
      <c r="T27" s="764"/>
      <c r="U27" s="769"/>
      <c r="V27" s="764"/>
      <c r="W27" s="764"/>
    </row>
    <row r="28" spans="1:26" ht="15" customHeight="1"/>
    <row r="29" spans="1:26" ht="15" customHeight="1">
      <c r="D29" s="148"/>
      <c r="E29" s="148"/>
      <c r="F29" s="148"/>
      <c r="G29" s="1343" t="s">
        <v>690</v>
      </c>
      <c r="H29" s="976">
        <v>1</v>
      </c>
      <c r="I29" s="1344" t="str">
        <f>IF(U29="","",INDEX(TERRITORY_MR_LIST,MATCH(U29,TERRITORY_LIST_ID,0)))</f>
        <v/>
      </c>
      <c r="J29" s="1004" t="s">
        <v>19</v>
      </c>
      <c r="K29" s="770"/>
      <c r="L29" s="121" t="s">
        <v>110</v>
      </c>
      <c r="M29" s="771"/>
      <c r="Y29" s="126" t="s">
        <v>121</v>
      </c>
      <c r="Z29" s="126">
        <v>1705000</v>
      </c>
    </row>
    <row r="30" spans="1:26" ht="15" customHeight="1">
      <c r="D30" s="148"/>
      <c r="E30" s="148"/>
      <c r="F30" s="148"/>
      <c r="G30" s="1343"/>
      <c r="H30" s="976"/>
      <c r="I30" s="1344"/>
      <c r="J30" s="1004"/>
      <c r="K30" s="98"/>
      <c r="L30" s="99"/>
      <c r="M30" s="127" t="s">
        <v>122</v>
      </c>
    </row>
    <row r="31" spans="1:26" ht="15" customHeight="1"/>
    <row r="32" spans="1:26" ht="15" customHeight="1">
      <c r="A32" s="764" t="s">
        <v>1911</v>
      </c>
      <c r="B32" s="764"/>
      <c r="C32" s="764"/>
      <c r="D32" s="764"/>
      <c r="E32" s="764"/>
      <c r="F32" s="764"/>
      <c r="G32" s="764"/>
      <c r="H32" s="764"/>
      <c r="I32" s="764"/>
      <c r="J32" s="764"/>
      <c r="K32" s="764"/>
      <c r="L32" s="764"/>
      <c r="M32" s="764"/>
      <c r="N32" s="764"/>
      <c r="O32" s="764"/>
      <c r="P32" s="764"/>
      <c r="Q32" s="764"/>
      <c r="R32" s="764"/>
      <c r="S32" s="764"/>
      <c r="T32" s="764"/>
      <c r="U32" s="769"/>
      <c r="V32" s="764"/>
      <c r="W32" s="764"/>
    </row>
    <row r="33" spans="1:26" ht="15" customHeight="1"/>
    <row r="34" spans="1:26" ht="15" customHeight="1">
      <c r="D34" s="148"/>
      <c r="E34" s="148"/>
      <c r="F34" s="148"/>
      <c r="G34" s="148"/>
      <c r="H34" s="148"/>
      <c r="I34" s="148"/>
      <c r="J34" s="148"/>
      <c r="K34" s="748" t="s">
        <v>690</v>
      </c>
      <c r="L34" s="612" t="s">
        <v>110</v>
      </c>
      <c r="M34" s="124"/>
      <c r="N34" s="114"/>
      <c r="Y34" s="126" t="s">
        <v>121</v>
      </c>
      <c r="Z34" s="126">
        <v>1705000</v>
      </c>
    </row>
    <row r="35" spans="1:26" ht="15" customHeight="1"/>
    <row r="36" spans="1:26" ht="15" customHeight="1"/>
    <row r="37" spans="1:26" ht="11.25" customHeight="1">
      <c r="A37" s="764" t="s">
        <v>1912</v>
      </c>
    </row>
    <row r="38" spans="1:26" ht="11.25" customHeight="1"/>
    <row r="39" spans="1:26" ht="22.5" customHeight="1">
      <c r="A39" s="201"/>
      <c r="B39" s="38"/>
      <c r="C39" s="772"/>
      <c r="D39" s="203"/>
      <c r="E39" s="221"/>
      <c r="F39" s="228"/>
      <c r="G39" s="148"/>
      <c r="H39" s="194"/>
    </row>
    <row r="40" spans="1:26" ht="11.25" customHeight="1"/>
    <row r="41" spans="1:26" ht="11.25" customHeight="1">
      <c r="A41" s="764" t="s">
        <v>1913</v>
      </c>
    </row>
    <row r="42" spans="1:26" ht="11.25" customHeight="1"/>
    <row r="43" spans="1:26" ht="22.5" customHeight="1">
      <c r="A43" s="38"/>
      <c r="B43" s="38"/>
      <c r="C43" s="38"/>
      <c r="D43" s="203"/>
      <c r="E43" s="221"/>
      <c r="F43" s="222"/>
      <c r="G43" s="148"/>
      <c r="H43" s="194"/>
    </row>
    <row r="44" spans="1:26" ht="11.25" customHeight="1"/>
    <row r="45" spans="1:26" ht="11.25" customHeight="1">
      <c r="A45" s="764" t="s">
        <v>1914</v>
      </c>
    </row>
    <row r="46" spans="1:26" ht="11.25" customHeight="1"/>
    <row r="47" spans="1:26" ht="24" customHeight="1">
      <c r="A47" s="1067" t="s">
        <v>314</v>
      </c>
      <c r="B47" s="185"/>
      <c r="C47" s="1077"/>
      <c r="D47" s="195" t="str">
        <f>A47</f>
        <v>5.1</v>
      </c>
      <c r="E47" s="198" t="s">
        <v>315</v>
      </c>
      <c r="F47" s="134" t="s">
        <v>307</v>
      </c>
      <c r="G47" s="196" t="s">
        <v>316</v>
      </c>
      <c r="H47" s="194"/>
    </row>
    <row r="48" spans="1:26" ht="22.5" customHeight="1">
      <c r="A48" s="1067"/>
      <c r="B48" s="185"/>
      <c r="C48" s="1077"/>
      <c r="D48" s="203" t="str">
        <f>D47&amp;".1"</f>
        <v>5.1.1</v>
      </c>
      <c r="E48" s="204" t="s">
        <v>317</v>
      </c>
      <c r="F48" s="199" t="s">
        <v>22</v>
      </c>
      <c r="G48" s="197"/>
      <c r="H48" s="194"/>
    </row>
    <row r="49" spans="1:43" ht="22.5" customHeight="1">
      <c r="A49" s="1067"/>
      <c r="B49" s="185"/>
      <c r="C49" s="1077"/>
      <c r="D49" s="203" t="str">
        <f>D47&amp;".2"</f>
        <v>5.1.2</v>
      </c>
      <c r="E49" s="204" t="s">
        <v>318</v>
      </c>
      <c r="F49" s="35" t="s">
        <v>22</v>
      </c>
      <c r="G49" s="196" t="s">
        <v>319</v>
      </c>
      <c r="H49" s="194"/>
    </row>
    <row r="50" spans="1:43" ht="22.5" customHeight="1">
      <c r="A50" s="1067"/>
      <c r="B50" s="185"/>
      <c r="C50" s="1077"/>
      <c r="D50" s="203" t="str">
        <f>D47&amp;".3"</f>
        <v>5.1.3</v>
      </c>
      <c r="E50" s="204" t="s">
        <v>320</v>
      </c>
      <c r="F50" s="199" t="s">
        <v>22</v>
      </c>
      <c r="G50" s="197"/>
      <c r="H50" s="194"/>
    </row>
    <row r="51" spans="1:43" ht="22.5" customHeight="1">
      <c r="A51" s="1067"/>
      <c r="B51" s="185"/>
      <c r="C51" s="1077"/>
      <c r="D51" s="203" t="str">
        <f>D47&amp;".4"</f>
        <v>5.1.4</v>
      </c>
      <c r="E51" s="204" t="s">
        <v>321</v>
      </c>
      <c r="F51" s="199" t="s">
        <v>22</v>
      </c>
      <c r="G51" s="196" t="s">
        <v>322</v>
      </c>
      <c r="H51" s="194"/>
    </row>
    <row r="54" spans="1:43" ht="17.25" customHeight="1">
      <c r="A54" s="764" t="s">
        <v>1915</v>
      </c>
    </row>
    <row r="56" spans="1:43" ht="18.75" customHeight="1">
      <c r="D56" s="283"/>
      <c r="E56" s="530"/>
      <c r="F56" s="773">
        <v>13</v>
      </c>
      <c r="G56" s="774"/>
      <c r="H56" s="95"/>
      <c r="I56" s="96"/>
      <c r="J56" s="286" t="s">
        <v>66</v>
      </c>
      <c r="K56" s="775" t="s">
        <v>22</v>
      </c>
      <c r="P56" s="288" t="s">
        <v>393</v>
      </c>
      <c r="Q56" s="288" t="s">
        <v>394</v>
      </c>
      <c r="R56" s="289" t="s">
        <v>395</v>
      </c>
      <c r="S56" s="75" t="s">
        <v>396</v>
      </c>
    </row>
    <row r="58" spans="1:43" ht="11.25" customHeight="1">
      <c r="A58" s="764" t="s">
        <v>1916</v>
      </c>
    </row>
    <row r="60" spans="1:43" ht="14.25" customHeight="1">
      <c r="C60" s="220"/>
      <c r="D60" s="259"/>
      <c r="E60" s="217" t="s">
        <v>22</v>
      </c>
      <c r="F60" s="260"/>
      <c r="G60" s="261"/>
      <c r="H60" s="262"/>
      <c r="I60" s="262"/>
      <c r="J60" s="263"/>
      <c r="K60" s="264"/>
      <c r="L60" s="265"/>
      <c r="M60" s="264"/>
      <c r="N60" s="263"/>
      <c r="O60" s="264"/>
      <c r="P60" s="263"/>
      <c r="Q60" s="264"/>
      <c r="R60" s="263"/>
      <c r="S60" s="266"/>
      <c r="T60" s="262"/>
      <c r="U60" s="263"/>
      <c r="V60" s="263"/>
      <c r="W60" s="250"/>
      <c r="X60" s="262"/>
      <c r="Y60" s="263"/>
      <c r="Z60" s="263"/>
      <c r="AA60" s="250"/>
      <c r="AB60" s="262"/>
      <c r="AC60" s="263"/>
      <c r="AD60" s="250"/>
      <c r="AP60" s="87" t="s">
        <v>382</v>
      </c>
      <c r="AQ60" s="87" t="s">
        <v>382</v>
      </c>
    </row>
    <row r="62" spans="1:43" ht="11.25" customHeight="1">
      <c r="A62" s="764" t="s">
        <v>1917</v>
      </c>
    </row>
    <row r="64" spans="1:43" ht="15" customHeight="1">
      <c r="A64" s="640" t="s">
        <v>90</v>
      </c>
      <c r="B64" t="s">
        <v>22</v>
      </c>
      <c r="D64" s="121"/>
      <c r="E64" s="273"/>
      <c r="F64" s="273"/>
      <c r="G64" s="315"/>
      <c r="H64" s="775"/>
      <c r="I64" s="317"/>
    </row>
    <row r="66" spans="1:30" ht="11.25" customHeight="1">
      <c r="A66" s="764" t="s">
        <v>1918</v>
      </c>
    </row>
    <row r="68" spans="1:30" ht="14.25" customHeight="1">
      <c r="C68" s="333"/>
      <c r="D68" s="186"/>
      <c r="E68" s="776"/>
      <c r="F68" s="775"/>
    </row>
    <row r="70" spans="1:30" ht="11.25" customHeight="1">
      <c r="A70" s="764" t="s">
        <v>1919</v>
      </c>
    </row>
    <row r="72" spans="1:30" ht="27" customHeight="1">
      <c r="E72" s="777"/>
      <c r="F72" s="1300"/>
      <c r="G72" s="1301"/>
      <c r="H72" s="1302" t="s">
        <v>66</v>
      </c>
      <c r="I72" s="1304"/>
      <c r="J72" s="1306"/>
      <c r="K72" s="1308"/>
      <c r="L72" s="1320"/>
      <c r="M72" s="1320"/>
      <c r="N72" s="1347"/>
      <c r="O72" s="1347"/>
      <c r="P72" s="1348" t="e">
        <f>DATEDIF(DATEVALUE(N72),DATEVALUE(O72),"y")&amp;"г. "&amp;DATEDIF(DATEVALUE(N72),DATEVALUE(O72),"ym")&amp;"мес. "&amp;DATEVALUE(O72)-DATE(YEAR(DATEVALUE(O72)),MONTH(DATEVALUE(O72)),1)&amp;"дн. "</f>
        <v>#VALUE!</v>
      </c>
      <c r="Q72" s="1321"/>
      <c r="R72" s="1321"/>
      <c r="S72" s="1321"/>
      <c r="T72" s="1306"/>
      <c r="U72" s="1321"/>
      <c r="V72" s="1321"/>
      <c r="W72" s="1321"/>
      <c r="X72" s="1306"/>
      <c r="Y72" s="1345" t="s">
        <v>66</v>
      </c>
      <c r="Z72" s="160"/>
      <c r="AA72" s="88">
        <v>1</v>
      </c>
      <c r="AB72" s="778"/>
      <c r="AD72" s="75" t="s">
        <v>1920</v>
      </c>
    </row>
    <row r="73" spans="1:30" ht="10.5" customHeight="1">
      <c r="E73" s="779"/>
      <c r="F73" s="1300"/>
      <c r="G73" s="1301"/>
      <c r="H73" s="1303"/>
      <c r="I73" s="1305"/>
      <c r="J73" s="1307"/>
      <c r="K73" s="1308"/>
      <c r="L73" s="1320"/>
      <c r="M73" s="1320"/>
      <c r="N73" s="1347"/>
      <c r="O73" s="1347"/>
      <c r="P73" s="1348"/>
      <c r="Q73" s="1321"/>
      <c r="R73" s="1321"/>
      <c r="S73" s="1321"/>
      <c r="T73" s="1307"/>
      <c r="U73" s="1321"/>
      <c r="V73" s="1321"/>
      <c r="W73" s="1321"/>
      <c r="X73" s="1307"/>
      <c r="Y73" s="1346"/>
      <c r="Z73" s="534"/>
      <c r="AA73" s="463"/>
      <c r="AB73" s="127" t="s">
        <v>1921</v>
      </c>
    </row>
    <row r="75" spans="1:30" ht="11.25" customHeight="1">
      <c r="A75" s="764" t="s">
        <v>1922</v>
      </c>
    </row>
    <row r="77" spans="1:30" ht="27" customHeight="1">
      <c r="E77" s="777"/>
      <c r="F77" s="780"/>
      <c r="G77" s="781"/>
      <c r="H77" s="782"/>
      <c r="I77" s="783"/>
      <c r="J77" s="784"/>
      <c r="K77" s="785"/>
      <c r="L77" s="786"/>
      <c r="M77" s="786"/>
      <c r="N77" s="787"/>
      <c r="O77" s="787"/>
      <c r="P77" s="788"/>
      <c r="Q77" s="789"/>
      <c r="R77" s="789"/>
      <c r="S77" s="789"/>
      <c r="T77" s="784"/>
      <c r="U77" s="789"/>
      <c r="V77" s="789"/>
      <c r="W77" s="789"/>
      <c r="X77" s="784"/>
      <c r="Y77" s="782"/>
      <c r="Z77" s="160"/>
      <c r="AA77" s="88">
        <v>1</v>
      </c>
      <c r="AB77" s="778"/>
      <c r="AD77" s="75" t="s">
        <v>1920</v>
      </c>
    </row>
    <row r="79" spans="1:30" ht="11.25" customHeight="1">
      <c r="A79" s="764" t="s">
        <v>1923</v>
      </c>
    </row>
    <row r="80" spans="1:30" ht="17.25" customHeight="1"/>
    <row r="81" spans="1:38" ht="21" customHeight="1">
      <c r="E81" s="38"/>
      <c r="F81" s="790" t="e">
        <f>INDEX(IP_MAIN_LIST_NAME_IP,MATCH(A81,IP_MAIN_LIST_IP_ID,0))&amp;" ("&amp;INDEX(IP_MAIN_START_DATE,MATCH(A81,IP_MAIN_LIST_IP_ID,0))&amp;"-"&amp;INDEX(IP_MAIN_END_DATE,MATCH(A81,IP_MAIN_LIST_IP_ID,0))&amp;")"</f>
        <v>#N/A</v>
      </c>
      <c r="G81" s="791"/>
      <c r="H81" s="791"/>
      <c r="I81" s="792"/>
      <c r="J81" s="792"/>
      <c r="K81" s="793"/>
      <c r="L81" s="793"/>
      <c r="M81" s="793"/>
      <c r="N81" s="794"/>
      <c r="O81" s="794"/>
      <c r="P81" s="794"/>
      <c r="Q81" s="794"/>
      <c r="R81" s="794"/>
      <c r="S81" s="794"/>
      <c r="T81" s="794"/>
      <c r="U81" s="794"/>
      <c r="V81" s="794"/>
      <c r="W81" s="794"/>
      <c r="X81" s="794"/>
      <c r="Y81" s="794"/>
      <c r="Z81" s="794"/>
      <c r="AA81" s="794"/>
      <c r="AB81" s="794"/>
      <c r="AC81" s="794"/>
      <c r="AD81" s="794"/>
      <c r="AE81" s="795"/>
      <c r="AF81" s="793"/>
      <c r="AG81" s="793"/>
      <c r="AH81" s="793"/>
      <c r="AI81" s="793"/>
      <c r="AJ81" s="793"/>
      <c r="AK81" s="793"/>
      <c r="AL81" s="602"/>
    </row>
    <row r="82" spans="1:38" ht="0.75" customHeight="1">
      <c r="E82" s="38"/>
      <c r="F82" s="1351"/>
      <c r="G82" s="1260"/>
      <c r="H82" s="1354" t="s">
        <v>377</v>
      </c>
      <c r="I82" s="1355"/>
      <c r="J82" s="1312"/>
      <c r="K82" s="1312"/>
      <c r="L82" s="1349"/>
      <c r="M82" s="1109"/>
      <c r="N82" s="796"/>
      <c r="O82" s="797"/>
      <c r="P82" s="796"/>
      <c r="Q82" s="796"/>
      <c r="R82" s="796"/>
      <c r="S82" s="796"/>
      <c r="T82" s="796"/>
      <c r="U82" s="796"/>
      <c r="V82" s="796"/>
      <c r="W82" s="796"/>
      <c r="X82" s="796"/>
      <c r="Y82" s="796"/>
      <c r="Z82" s="796"/>
      <c r="AA82" s="796"/>
      <c r="AB82" s="796"/>
      <c r="AC82" s="796"/>
      <c r="AD82" s="796"/>
      <c r="AE82" s="796"/>
      <c r="AF82" s="1353"/>
      <c r="AG82" s="1349"/>
      <c r="AH82" s="1349"/>
      <c r="AI82" s="1353"/>
      <c r="AJ82" s="1349"/>
      <c r="AK82" s="1349"/>
      <c r="AL82" s="602"/>
    </row>
    <row r="83" spans="1:38" ht="0.75" customHeight="1">
      <c r="E83" s="38"/>
      <c r="F83" s="1351"/>
      <c r="G83" s="1260"/>
      <c r="H83" s="1354"/>
      <c r="I83" s="1355"/>
      <c r="J83" s="1312"/>
      <c r="K83" s="1312"/>
      <c r="L83" s="1349"/>
      <c r="M83" s="1109"/>
      <c r="N83" s="1356"/>
      <c r="O83" s="1357"/>
      <c r="P83" s="1309"/>
      <c r="Q83" s="1312"/>
      <c r="R83" s="1312"/>
      <c r="S83" s="1312"/>
      <c r="T83" s="1312"/>
      <c r="U83" s="1312"/>
      <c r="V83" s="1312"/>
      <c r="W83" s="1312"/>
      <c r="X83" s="1312"/>
      <c r="Y83" s="1312"/>
      <c r="Z83" s="799"/>
      <c r="AA83" s="800"/>
      <c r="AB83" s="800"/>
      <c r="AC83" s="801"/>
      <c r="AD83" s="801"/>
      <c r="AE83" s="802"/>
      <c r="AF83" s="1353"/>
      <c r="AG83" s="1349"/>
      <c r="AH83" s="1349"/>
      <c r="AI83" s="1353"/>
      <c r="AJ83" s="1349"/>
      <c r="AK83" s="1349"/>
      <c r="AL83" s="602"/>
    </row>
    <row r="84" spans="1:38" ht="0.75" customHeight="1">
      <c r="E84" s="38"/>
      <c r="F84" s="1351"/>
      <c r="G84" s="1260"/>
      <c r="H84" s="1354"/>
      <c r="I84" s="1355"/>
      <c r="J84" s="1312"/>
      <c r="K84" s="1312"/>
      <c r="L84" s="1349"/>
      <c r="M84" s="1109"/>
      <c r="N84" s="1356"/>
      <c r="O84" s="1357"/>
      <c r="P84" s="1310"/>
      <c r="Q84" s="1312"/>
      <c r="R84" s="1312"/>
      <c r="S84" s="1312"/>
      <c r="T84" s="1312"/>
      <c r="U84" s="1312"/>
      <c r="V84" s="1312"/>
      <c r="W84" s="1312"/>
      <c r="X84" s="1312"/>
      <c r="Y84" s="1312"/>
      <c r="AA84" s="798"/>
      <c r="AB84" s="803"/>
      <c r="AC84" s="804"/>
      <c r="AD84" s="803"/>
      <c r="AE84" s="804"/>
      <c r="AF84" s="1353"/>
      <c r="AG84" s="1349"/>
      <c r="AH84" s="1349"/>
      <c r="AI84" s="1353"/>
      <c r="AJ84" s="1349"/>
      <c r="AK84" s="1349"/>
      <c r="AL84" s="602"/>
    </row>
    <row r="85" spans="1:38" ht="0.75" customHeight="1">
      <c r="E85" s="38"/>
      <c r="F85" s="1351"/>
      <c r="G85" s="1260"/>
      <c r="H85" s="1354"/>
      <c r="I85" s="1355"/>
      <c r="J85" s="1312"/>
      <c r="K85" s="1312"/>
      <c r="L85" s="1349"/>
      <c r="M85" s="1109"/>
      <c r="N85" s="1356"/>
      <c r="O85" s="1357"/>
      <c r="P85" s="1311"/>
      <c r="Q85" s="1312"/>
      <c r="R85" s="1312"/>
      <c r="S85" s="1312"/>
      <c r="T85" s="1312"/>
      <c r="U85" s="1312"/>
      <c r="V85" s="1312"/>
      <c r="W85" s="1312"/>
      <c r="X85" s="1312"/>
      <c r="Y85" s="1312"/>
      <c r="Z85" s="799"/>
      <c r="AA85" s="800"/>
      <c r="AB85" s="805"/>
      <c r="AC85" s="801"/>
      <c r="AD85" s="801"/>
      <c r="AE85" s="806"/>
      <c r="AF85" s="1353"/>
      <c r="AG85" s="1349"/>
      <c r="AH85" s="1349"/>
      <c r="AI85" s="1353"/>
      <c r="AJ85" s="1349"/>
      <c r="AK85" s="1349"/>
      <c r="AL85" s="602"/>
    </row>
    <row r="86" spans="1:38" ht="0.75" customHeight="1">
      <c r="E86" s="38"/>
      <c r="F86" s="1351"/>
      <c r="G86" s="1260"/>
      <c r="H86" s="1354"/>
      <c r="I86" s="1355"/>
      <c r="J86" s="1312"/>
      <c r="K86" s="1312"/>
      <c r="L86" s="1349"/>
      <c r="M86" s="1109"/>
      <c r="N86" s="800"/>
      <c r="O86" s="800"/>
      <c r="P86" s="805"/>
      <c r="Q86" s="800"/>
      <c r="R86" s="800"/>
      <c r="S86" s="800"/>
      <c r="T86" s="800"/>
      <c r="U86" s="800"/>
      <c r="V86" s="800"/>
      <c r="W86" s="800"/>
      <c r="X86" s="800"/>
      <c r="Y86" s="800"/>
      <c r="Z86" s="800"/>
      <c r="AA86" s="800"/>
      <c r="AB86" s="800"/>
      <c r="AC86" s="800"/>
      <c r="AD86" s="800"/>
      <c r="AE86" s="807"/>
      <c r="AF86" s="1353"/>
      <c r="AG86" s="1349"/>
      <c r="AH86" s="1349"/>
      <c r="AI86" s="1353"/>
      <c r="AJ86" s="1349"/>
      <c r="AK86" s="1349"/>
      <c r="AL86" s="602"/>
    </row>
    <row r="87" spans="1:38" ht="12" customHeight="1">
      <c r="E87" s="38"/>
      <c r="F87" s="1352"/>
      <c r="G87" s="808"/>
      <c r="H87" s="808"/>
      <c r="I87" s="1350" t="s">
        <v>1924</v>
      </c>
      <c r="J87" s="1350"/>
      <c r="K87" s="1350"/>
      <c r="L87" s="810"/>
      <c r="M87" s="810"/>
      <c r="N87" s="811"/>
      <c r="O87" s="811"/>
      <c r="P87" s="811"/>
      <c r="Q87" s="811"/>
      <c r="R87" s="811"/>
      <c r="S87" s="811"/>
      <c r="T87" s="811"/>
      <c r="U87" s="811"/>
      <c r="V87" s="811"/>
      <c r="W87" s="811"/>
      <c r="X87" s="811"/>
      <c r="Y87" s="811"/>
      <c r="Z87" s="811"/>
      <c r="AA87" s="811"/>
      <c r="AB87" s="811"/>
      <c r="AC87" s="811"/>
      <c r="AD87" s="811"/>
      <c r="AE87" s="811"/>
      <c r="AF87" s="811"/>
      <c r="AG87" s="810"/>
      <c r="AH87" s="810"/>
      <c r="AI87" s="811"/>
      <c r="AJ87" s="810"/>
      <c r="AK87" s="811"/>
      <c r="AL87" s="602"/>
    </row>
    <row r="89" spans="1:38" ht="11.25" customHeight="1">
      <c r="A89" s="764" t="s">
        <v>1925</v>
      </c>
    </row>
    <row r="91" spans="1:38" ht="11.25" customHeight="1">
      <c r="E91" s="38"/>
      <c r="F91" s="812"/>
      <c r="G91" s="813"/>
      <c r="H91" s="813"/>
      <c r="I91" s="814"/>
      <c r="J91" s="814"/>
      <c r="K91" s="815"/>
      <c r="L91" s="814"/>
      <c r="M91" s="813"/>
      <c r="N91" s="1313"/>
      <c r="O91" s="1314">
        <v>1</v>
      </c>
      <c r="P91" s="1315" t="s">
        <v>19</v>
      </c>
      <c r="Q91" s="1225" t="s">
        <v>22</v>
      </c>
      <c r="R91" s="1225" t="s">
        <v>22</v>
      </c>
      <c r="S91" s="1225" t="s">
        <v>22</v>
      </c>
      <c r="T91" s="1225" t="s">
        <v>22</v>
      </c>
      <c r="U91" s="1225" t="s">
        <v>22</v>
      </c>
      <c r="V91" s="1225" t="s">
        <v>22</v>
      </c>
      <c r="W91" s="1225" t="s">
        <v>22</v>
      </c>
      <c r="X91" s="1225" t="s">
        <v>22</v>
      </c>
      <c r="Y91" s="1225"/>
      <c r="Z91" s="817"/>
      <c r="AA91" s="818"/>
      <c r="AB91" s="818"/>
      <c r="AC91" s="819"/>
      <c r="AD91" s="819"/>
      <c r="AE91" s="819"/>
      <c r="AF91" s="820"/>
      <c r="AG91" s="821"/>
      <c r="AH91" s="821"/>
      <c r="AI91" s="820"/>
      <c r="AJ91" s="821"/>
      <c r="AK91" s="822"/>
      <c r="AL91" s="602"/>
    </row>
    <row r="92" spans="1:38" ht="11.25" customHeight="1">
      <c r="E92" s="38"/>
      <c r="F92" s="812"/>
      <c r="G92" s="813"/>
      <c r="H92" s="813"/>
      <c r="I92" s="823"/>
      <c r="J92" s="823"/>
      <c r="K92" s="815"/>
      <c r="L92" s="823"/>
      <c r="M92" s="813"/>
      <c r="N92" s="1313"/>
      <c r="O92" s="1314"/>
      <c r="P92" s="1316"/>
      <c r="Q92" s="1225"/>
      <c r="R92" s="1225"/>
      <c r="S92" s="1318"/>
      <c r="T92" s="1225"/>
      <c r="U92" s="1225"/>
      <c r="V92" s="1225"/>
      <c r="W92" s="1225"/>
      <c r="X92" s="1225"/>
      <c r="Y92" s="1225"/>
      <c r="AA92" s="816">
        <v>1</v>
      </c>
      <c r="AB92" s="824"/>
      <c r="AC92" s="558"/>
      <c r="AD92" s="824">
        <f>AB92</f>
        <v>0</v>
      </c>
      <c r="AE92" s="574"/>
      <c r="AF92" s="815"/>
      <c r="AG92" s="821"/>
      <c r="AH92" s="821"/>
      <c r="AI92" s="815"/>
      <c r="AJ92" s="821"/>
      <c r="AK92" s="822"/>
      <c r="AL92" s="602"/>
    </row>
    <row r="93" spans="1:38" ht="11.25" customHeight="1">
      <c r="E93" s="38"/>
      <c r="F93" s="812"/>
      <c r="G93" s="813"/>
      <c r="H93" s="813"/>
      <c r="I93" s="825"/>
      <c r="J93" s="825"/>
      <c r="K93" s="815"/>
      <c r="L93" s="825"/>
      <c r="M93" s="813"/>
      <c r="N93" s="1313"/>
      <c r="O93" s="1314"/>
      <c r="P93" s="1317"/>
      <c r="Q93" s="1225"/>
      <c r="R93" s="1225"/>
      <c r="S93" s="1318"/>
      <c r="T93" s="1225"/>
      <c r="U93" s="1225"/>
      <c r="V93" s="1225"/>
      <c r="W93" s="1225"/>
      <c r="X93" s="1225"/>
      <c r="Y93" s="1225"/>
      <c r="Z93" s="817"/>
      <c r="AA93" s="818"/>
      <c r="AB93" s="100" t="s">
        <v>1926</v>
      </c>
      <c r="AC93" s="819"/>
      <c r="AD93" s="819"/>
      <c r="AE93" s="819"/>
      <c r="AF93" s="826"/>
      <c r="AG93" s="821"/>
      <c r="AH93" s="821"/>
      <c r="AI93" s="826"/>
      <c r="AJ93" s="821"/>
      <c r="AK93" s="822"/>
      <c r="AL93" s="602"/>
    </row>
    <row r="95" spans="1:38" ht="11.25" customHeight="1">
      <c r="A95" s="764" t="s">
        <v>1927</v>
      </c>
    </row>
    <row r="97" spans="1:179" ht="11.25" customHeight="1">
      <c r="E97" s="38"/>
      <c r="F97" s="813"/>
      <c r="G97" s="813"/>
      <c r="H97" s="813"/>
      <c r="I97" s="813"/>
      <c r="J97" s="813"/>
      <c r="K97" s="813"/>
      <c r="L97" s="813"/>
      <c r="M97" s="813"/>
      <c r="N97" s="813"/>
      <c r="O97" s="813"/>
      <c r="P97" s="813"/>
      <c r="Q97" s="813"/>
      <c r="R97" s="813"/>
      <c r="S97" s="813"/>
      <c r="T97" s="813"/>
      <c r="U97" s="813"/>
      <c r="V97" s="813"/>
      <c r="W97" s="813"/>
      <c r="X97" s="813"/>
      <c r="Y97" s="813"/>
      <c r="Z97" s="827"/>
      <c r="AA97" s="828">
        <v>1</v>
      </c>
      <c r="AB97" s="824"/>
      <c r="AC97" s="558"/>
      <c r="AD97" s="824">
        <f>AB97</f>
        <v>0</v>
      </c>
      <c r="AE97" s="558"/>
      <c r="AF97" s="815"/>
      <c r="AG97" s="821"/>
      <c r="AH97" s="821"/>
      <c r="AI97" s="815"/>
      <c r="AJ97" s="821"/>
      <c r="AK97" s="822"/>
      <c r="AL97" s="602"/>
    </row>
    <row r="99" spans="1:179" ht="11.25" customHeight="1">
      <c r="A99" s="764" t="s">
        <v>1928</v>
      </c>
    </row>
    <row r="101" spans="1:179" ht="11.25" customHeight="1">
      <c r="E101" s="38"/>
      <c r="F101" s="812"/>
      <c r="G101" s="813"/>
      <c r="H101" s="1260" t="s">
        <v>110</v>
      </c>
      <c r="I101" s="1370"/>
      <c r="J101" s="1293"/>
      <c r="K101" s="1368"/>
      <c r="L101" s="1004" t="s">
        <v>19</v>
      </c>
      <c r="M101" s="1005"/>
      <c r="N101" s="829"/>
      <c r="O101" s="830" t="s">
        <v>377</v>
      </c>
      <c r="P101" s="831"/>
      <c r="Q101" s="831"/>
      <c r="R101" s="831"/>
      <c r="S101" s="831"/>
      <c r="T101" s="831"/>
      <c r="U101" s="831"/>
      <c r="V101" s="831"/>
      <c r="W101" s="831"/>
      <c r="X101" s="831"/>
      <c r="Y101" s="831"/>
      <c r="Z101" s="831"/>
      <c r="AA101" s="831"/>
      <c r="AB101" s="831"/>
      <c r="AC101" s="831"/>
      <c r="AD101" s="831"/>
      <c r="AE101" s="831"/>
      <c r="AF101" s="1371"/>
      <c r="AG101" s="1372"/>
      <c r="AH101" s="1372"/>
      <c r="AI101" s="1371"/>
      <c r="AJ101" s="1372"/>
      <c r="AK101" s="1372"/>
      <c r="AL101" s="602"/>
    </row>
    <row r="102" spans="1:179" ht="11.25" customHeight="1">
      <c r="E102" s="38"/>
      <c r="F102" s="812"/>
      <c r="G102" s="813"/>
      <c r="H102" s="1260"/>
      <c r="I102" s="1370"/>
      <c r="J102" s="1293"/>
      <c r="K102" s="1368"/>
      <c r="L102" s="1004"/>
      <c r="M102" s="1005"/>
      <c r="N102" s="1313"/>
      <c r="O102" s="1373">
        <v>1</v>
      </c>
      <c r="P102" s="1315" t="s">
        <v>19</v>
      </c>
      <c r="Q102" s="1225" t="s">
        <v>22</v>
      </c>
      <c r="R102" s="1225" t="s">
        <v>22</v>
      </c>
      <c r="S102" s="1225" t="s">
        <v>22</v>
      </c>
      <c r="T102" s="1225" t="s">
        <v>22</v>
      </c>
      <c r="U102" s="1225" t="s">
        <v>22</v>
      </c>
      <c r="V102" s="1225" t="s">
        <v>22</v>
      </c>
      <c r="W102" s="1225" t="s">
        <v>22</v>
      </c>
      <c r="X102" s="1225" t="s">
        <v>22</v>
      </c>
      <c r="Y102" s="1225"/>
      <c r="Z102" s="817"/>
      <c r="AA102" s="818"/>
      <c r="AB102" s="818"/>
      <c r="AC102" s="819"/>
      <c r="AD102" s="819"/>
      <c r="AE102" s="832"/>
      <c r="AF102" s="1371"/>
      <c r="AG102" s="1372"/>
      <c r="AH102" s="1372"/>
      <c r="AI102" s="1371"/>
      <c r="AJ102" s="1372"/>
      <c r="AK102" s="1372"/>
      <c r="AL102" s="602"/>
    </row>
    <row r="103" spans="1:179" ht="11.25" customHeight="1">
      <c r="E103" s="38"/>
      <c r="F103" s="812"/>
      <c r="G103" s="813"/>
      <c r="H103" s="1260"/>
      <c r="I103" s="1370"/>
      <c r="J103" s="1293"/>
      <c r="K103" s="1368"/>
      <c r="L103" s="1004"/>
      <c r="M103" s="1005"/>
      <c r="N103" s="1313"/>
      <c r="O103" s="1373"/>
      <c r="P103" s="1316"/>
      <c r="Q103" s="1225"/>
      <c r="R103" s="1225"/>
      <c r="S103" s="1318"/>
      <c r="T103" s="1225"/>
      <c r="U103" s="1225"/>
      <c r="V103" s="1225"/>
      <c r="W103" s="1225"/>
      <c r="X103" s="1225"/>
      <c r="Y103" s="1225"/>
      <c r="AA103" s="816">
        <v>1</v>
      </c>
      <c r="AB103" s="824"/>
      <c r="AC103" s="558"/>
      <c r="AD103" s="824">
        <f>AB103</f>
        <v>0</v>
      </c>
      <c r="AE103" s="558"/>
      <c r="AF103" s="1371"/>
      <c r="AG103" s="1372"/>
      <c r="AH103" s="1372"/>
      <c r="AI103" s="1371"/>
      <c r="AJ103" s="1372"/>
      <c r="AK103" s="1372"/>
      <c r="AL103" s="602"/>
    </row>
    <row r="104" spans="1:179" ht="11.25" customHeight="1">
      <c r="E104" s="38"/>
      <c r="F104" s="812"/>
      <c r="G104" s="813"/>
      <c r="H104" s="1260"/>
      <c r="I104" s="1370"/>
      <c r="J104" s="1293"/>
      <c r="K104" s="1368"/>
      <c r="L104" s="1004"/>
      <c r="M104" s="1005"/>
      <c r="N104" s="1313"/>
      <c r="O104" s="1373"/>
      <c r="P104" s="1317"/>
      <c r="Q104" s="1225"/>
      <c r="R104" s="1225"/>
      <c r="S104" s="1318"/>
      <c r="T104" s="1225"/>
      <c r="U104" s="1225"/>
      <c r="V104" s="1225"/>
      <c r="W104" s="1225"/>
      <c r="X104" s="1225"/>
      <c r="Y104" s="1225"/>
      <c r="Z104" s="817"/>
      <c r="AA104" s="818"/>
      <c r="AB104" s="100" t="s">
        <v>1926</v>
      </c>
      <c r="AC104" s="819"/>
      <c r="AD104" s="819"/>
      <c r="AE104" s="833"/>
      <c r="AF104" s="1371"/>
      <c r="AG104" s="1372"/>
      <c r="AH104" s="1372"/>
      <c r="AI104" s="1371"/>
      <c r="AJ104" s="1372"/>
      <c r="AK104" s="1372"/>
      <c r="AL104" s="602"/>
    </row>
    <row r="105" spans="1:179" ht="11.25" customHeight="1">
      <c r="E105" s="38"/>
      <c r="F105" s="812"/>
      <c r="G105" s="813"/>
      <c r="H105" s="1260"/>
      <c r="I105" s="1370"/>
      <c r="J105" s="1293"/>
      <c r="K105" s="1368"/>
      <c r="L105" s="1004"/>
      <c r="M105" s="1005"/>
      <c r="N105" s="817"/>
      <c r="O105" s="818"/>
      <c r="P105" s="100" t="s">
        <v>1929</v>
      </c>
      <c r="Q105" s="818"/>
      <c r="R105" s="818"/>
      <c r="S105" s="818"/>
      <c r="T105" s="818"/>
      <c r="U105" s="818"/>
      <c r="V105" s="818"/>
      <c r="W105" s="818"/>
      <c r="X105" s="818"/>
      <c r="Y105" s="818"/>
      <c r="Z105" s="818"/>
      <c r="AA105" s="818"/>
      <c r="AB105" s="818"/>
      <c r="AC105" s="818"/>
      <c r="AD105" s="818"/>
      <c r="AE105" s="834"/>
      <c r="AF105" s="1371"/>
      <c r="AG105" s="1372"/>
      <c r="AH105" s="1372"/>
      <c r="AI105" s="1371"/>
      <c r="AJ105" s="1372"/>
      <c r="AK105" s="1372"/>
      <c r="AL105" s="602"/>
    </row>
    <row r="107" spans="1:179" ht="11.25" customHeight="1">
      <c r="A107" s="764" t="s">
        <v>1930</v>
      </c>
    </row>
    <row r="108" spans="1:179" ht="17.25" customHeight="1"/>
    <row r="109" spans="1:179" ht="21" customHeight="1">
      <c r="E109" s="614" t="s">
        <v>22</v>
      </c>
      <c r="F109" s="835" t="e">
        <f>INDEX(IP_MAIN_LIST_NAME_IP,MATCH(A109,IP_MAIN_LIST_IP_ID,0))&amp;" ("&amp;INDEX(IP_MAIN_START_DATE,MATCH(A109,IP_MAIN_LIST_IP_ID,0))&amp;"-"&amp;INDEX(IP_MAIN_END_DATE,MATCH(A109,IP_MAIN_LIST_IP_ID,0))&amp;")"</f>
        <v>#N/A</v>
      </c>
      <c r="G109" s="836"/>
      <c r="H109" s="837"/>
      <c r="I109" s="837"/>
      <c r="J109" s="837"/>
      <c r="K109" s="837"/>
      <c r="L109" s="837"/>
      <c r="M109" s="837"/>
      <c r="N109" s="837"/>
      <c r="O109" s="836"/>
      <c r="P109" s="836"/>
      <c r="Q109" s="836"/>
      <c r="R109" s="836"/>
      <c r="S109" s="836"/>
      <c r="T109" s="836"/>
      <c r="U109" s="838"/>
      <c r="V109" s="838"/>
      <c r="W109" s="838"/>
      <c r="X109" s="838"/>
      <c r="Y109" s="838"/>
      <c r="Z109" s="838"/>
      <c r="AA109" s="838"/>
      <c r="AB109" s="836"/>
      <c r="AC109" s="837"/>
      <c r="AD109" s="837"/>
      <c r="AE109" s="837"/>
      <c r="AF109" s="837"/>
      <c r="AG109" s="837"/>
      <c r="AH109" s="837"/>
      <c r="AI109" s="837"/>
      <c r="AJ109" s="837"/>
      <c r="AK109" s="837"/>
      <c r="AL109" s="837"/>
      <c r="AM109" s="837"/>
      <c r="AN109" s="837"/>
      <c r="AO109" s="837"/>
      <c r="AP109" s="837"/>
      <c r="AQ109" s="837"/>
      <c r="AR109" s="837"/>
      <c r="AS109" s="837"/>
      <c r="AT109" s="837"/>
      <c r="AU109" s="837"/>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7"/>
      <c r="BQ109" s="837"/>
      <c r="BR109" s="837"/>
      <c r="BS109" s="837"/>
      <c r="BT109" s="837"/>
      <c r="BU109" s="837"/>
      <c r="BV109" s="837"/>
      <c r="BW109" s="837"/>
      <c r="BX109" s="837"/>
      <c r="BY109" s="837"/>
      <c r="BZ109" s="837"/>
      <c r="CA109" s="837"/>
      <c r="CB109" s="837"/>
      <c r="CC109" s="837"/>
      <c r="CD109" s="837"/>
      <c r="CE109" s="837"/>
      <c r="CF109" s="837"/>
      <c r="CG109" s="837"/>
      <c r="CH109" s="837"/>
      <c r="CI109" s="837"/>
      <c r="CJ109" s="837"/>
      <c r="CK109" s="837"/>
      <c r="CL109" s="839"/>
      <c r="CM109" s="839"/>
      <c r="CN109" s="839"/>
      <c r="CO109" s="839"/>
      <c r="CP109" s="839"/>
      <c r="CQ109" s="839"/>
      <c r="CR109" s="839"/>
      <c r="CS109" s="839"/>
      <c r="CT109" s="839"/>
      <c r="CU109" s="839"/>
      <c r="CV109" s="839"/>
      <c r="CW109" s="839"/>
      <c r="CX109" s="839"/>
      <c r="CY109" s="839"/>
      <c r="CZ109" s="839"/>
      <c r="DA109" s="839"/>
      <c r="DB109" s="839"/>
      <c r="DC109" s="839"/>
      <c r="DD109" s="839"/>
      <c r="DE109" s="839"/>
      <c r="DF109" s="839"/>
      <c r="DG109" s="839"/>
      <c r="DH109" s="839"/>
      <c r="DI109" s="839"/>
      <c r="DJ109" s="839"/>
      <c r="DK109" s="839"/>
      <c r="DL109" s="839"/>
      <c r="DM109" s="839"/>
      <c r="DN109" s="839"/>
      <c r="DO109" s="839"/>
      <c r="DP109" s="839"/>
      <c r="DQ109" s="839"/>
      <c r="DR109" s="839"/>
      <c r="DS109" s="839"/>
      <c r="DT109" s="839"/>
      <c r="DU109" s="839"/>
      <c r="DV109" s="839"/>
      <c r="DW109" s="839"/>
      <c r="DX109" s="839"/>
      <c r="DY109" s="839"/>
      <c r="DZ109" s="839"/>
      <c r="EA109" s="839"/>
      <c r="EB109" s="839"/>
      <c r="EC109" s="839"/>
      <c r="ED109" s="839"/>
      <c r="EE109" s="839"/>
      <c r="EF109" s="839"/>
      <c r="EG109" s="839"/>
      <c r="EH109" s="839"/>
      <c r="EI109" s="839"/>
      <c r="EJ109" s="839"/>
      <c r="EK109" s="839"/>
      <c r="EL109" s="839"/>
      <c r="EM109" s="839"/>
      <c r="EN109" s="839"/>
      <c r="EO109" s="839"/>
      <c r="EP109" s="839"/>
      <c r="EQ109" s="839"/>
      <c r="ER109" s="839"/>
      <c r="ES109" s="839"/>
      <c r="ET109" s="839"/>
      <c r="EU109" s="839"/>
      <c r="EV109" s="839"/>
      <c r="EW109" s="839"/>
      <c r="EX109" s="839"/>
      <c r="EY109" s="839"/>
      <c r="EZ109" s="839"/>
      <c r="FA109" s="839"/>
      <c r="FB109" s="839"/>
      <c r="FC109" s="839"/>
      <c r="FD109" s="839"/>
      <c r="FE109" s="839"/>
      <c r="FF109" s="839"/>
      <c r="FG109" s="839"/>
      <c r="FH109" s="839"/>
      <c r="FI109" s="839"/>
      <c r="FJ109" s="839"/>
      <c r="FK109" s="839"/>
      <c r="FL109" s="839"/>
      <c r="FM109" s="839"/>
      <c r="FN109" s="839"/>
      <c r="FO109" s="839"/>
      <c r="FP109" s="839"/>
      <c r="FQ109" s="839"/>
      <c r="FR109" s="839"/>
      <c r="FS109" s="839"/>
      <c r="FT109" s="839"/>
      <c r="FU109" s="839"/>
      <c r="FV109" s="840"/>
      <c r="FW109" s="622"/>
    </row>
    <row r="110" spans="1:179" ht="24.75" customHeight="1">
      <c r="F110" s="531">
        <v>1</v>
      </c>
      <c r="G110" s="60"/>
      <c r="H110" s="62"/>
      <c r="I110" s="841"/>
      <c r="J110" s="842"/>
      <c r="K110" s="842"/>
      <c r="L110" s="842"/>
      <c r="M110" s="842"/>
      <c r="N110" s="842"/>
      <c r="O110" s="843"/>
      <c r="P110" s="843"/>
      <c r="Q110" s="843"/>
      <c r="R110" s="843"/>
      <c r="S110" s="843"/>
      <c r="T110" s="843"/>
      <c r="U110" s="843"/>
      <c r="V110" s="843"/>
      <c r="W110" s="843"/>
      <c r="X110" s="843"/>
      <c r="Y110" s="843"/>
      <c r="Z110" s="843"/>
      <c r="AA110" s="843"/>
      <c r="AB110" s="843"/>
      <c r="AC110" s="842"/>
      <c r="AD110" s="842"/>
      <c r="AE110" s="842"/>
      <c r="AF110" s="842"/>
      <c r="AG110" s="842"/>
      <c r="AH110" s="842"/>
      <c r="AI110" s="842"/>
      <c r="AJ110" s="842"/>
      <c r="AK110" s="842"/>
      <c r="AL110" s="842"/>
      <c r="AM110" s="842"/>
      <c r="AN110" s="842"/>
      <c r="AO110" s="842"/>
      <c r="AP110" s="842"/>
      <c r="AQ110" s="842"/>
      <c r="AR110" s="842"/>
      <c r="AS110" s="842"/>
      <c r="AT110" s="842"/>
      <c r="AU110" s="842"/>
      <c r="AV110" s="842"/>
      <c r="AW110" s="842"/>
      <c r="AX110" s="842"/>
      <c r="AY110" s="842"/>
      <c r="AZ110" s="842"/>
      <c r="BA110" s="842"/>
      <c r="BB110" s="842"/>
      <c r="BC110" s="842"/>
      <c r="BD110" s="842"/>
      <c r="BE110" s="842"/>
      <c r="BF110" s="842"/>
      <c r="BG110" s="842"/>
      <c r="BH110" s="842"/>
      <c r="BI110" s="842"/>
      <c r="BJ110" s="842"/>
      <c r="BK110" s="842"/>
      <c r="BL110" s="842"/>
      <c r="BM110" s="842"/>
      <c r="BN110" s="842"/>
      <c r="BO110" s="842"/>
      <c r="BP110" s="842"/>
      <c r="BQ110" s="842"/>
      <c r="BR110" s="842"/>
      <c r="BS110" s="842"/>
      <c r="BT110" s="843"/>
      <c r="BU110" s="843"/>
      <c r="BV110" s="843"/>
      <c r="BW110" s="843"/>
      <c r="BX110" s="843"/>
      <c r="BY110" s="843"/>
      <c r="BZ110" s="843"/>
      <c r="CA110" s="843"/>
      <c r="CB110" s="843"/>
      <c r="CC110" s="843"/>
      <c r="CD110" s="843"/>
      <c r="CE110" s="843"/>
      <c r="CF110" s="843"/>
      <c r="CG110" s="843"/>
      <c r="CH110" s="843"/>
      <c r="CI110" s="843"/>
      <c r="CJ110" s="843"/>
      <c r="CK110" s="843"/>
      <c r="CL110" s="842"/>
      <c r="CM110" s="842"/>
      <c r="CN110" s="842"/>
      <c r="CO110" s="842"/>
      <c r="CP110" s="842"/>
      <c r="CQ110" s="842"/>
      <c r="CR110" s="842"/>
      <c r="CS110" s="842"/>
      <c r="CT110" s="842"/>
      <c r="CU110" s="842"/>
      <c r="CV110" s="842"/>
      <c r="CW110" s="842"/>
      <c r="CX110" s="842"/>
      <c r="CY110" s="843"/>
      <c r="CZ110" s="843"/>
      <c r="DA110" s="843"/>
      <c r="DB110" s="843"/>
      <c r="DC110" s="843"/>
      <c r="DD110" s="843"/>
      <c r="DE110" s="843"/>
      <c r="DF110" s="843"/>
      <c r="DG110" s="843"/>
      <c r="DH110" s="843"/>
      <c r="DI110" s="843"/>
      <c r="DJ110" s="843"/>
      <c r="DK110" s="842"/>
      <c r="DL110" s="842"/>
      <c r="DM110" s="842"/>
      <c r="DN110" s="842"/>
      <c r="DO110" s="842"/>
      <c r="DP110" s="842"/>
      <c r="DQ110" s="842"/>
      <c r="DR110" s="842"/>
      <c r="DS110" s="842"/>
      <c r="DT110" s="842"/>
      <c r="DU110" s="842"/>
      <c r="DV110" s="842"/>
      <c r="DW110" s="842"/>
      <c r="DX110" s="842"/>
      <c r="DY110" s="842"/>
      <c r="DZ110" s="842"/>
      <c r="EA110" s="842"/>
      <c r="EB110" s="842"/>
      <c r="EC110" s="842"/>
      <c r="ED110" s="842"/>
      <c r="EE110" s="842"/>
      <c r="EF110" s="842"/>
      <c r="EG110" s="842"/>
      <c r="EH110" s="842"/>
      <c r="EI110" s="842"/>
      <c r="EJ110" s="842"/>
      <c r="EK110" s="842"/>
      <c r="EL110" s="842"/>
      <c r="EM110" s="842"/>
      <c r="EN110" s="842"/>
      <c r="EO110" s="842"/>
      <c r="EP110" s="842"/>
      <c r="EQ110" s="842"/>
      <c r="ER110" s="842"/>
      <c r="ES110" s="842"/>
      <c r="ET110" s="842"/>
      <c r="EU110" s="842"/>
      <c r="EV110" s="842"/>
      <c r="EW110" s="842"/>
      <c r="EX110" s="842"/>
      <c r="EY110" s="842"/>
      <c r="EZ110" s="842"/>
      <c r="FA110" s="842"/>
      <c r="FB110" s="842"/>
      <c r="FC110" s="842"/>
      <c r="FD110" s="842"/>
      <c r="FE110" s="842"/>
      <c r="FF110" s="842"/>
      <c r="FG110" s="842"/>
      <c r="FH110" s="842"/>
      <c r="FI110" s="842"/>
      <c r="FJ110" s="842"/>
      <c r="FK110" s="842"/>
      <c r="FL110" s="842"/>
      <c r="FM110" s="842"/>
      <c r="FN110" s="842"/>
      <c r="FO110" s="842"/>
      <c r="FP110" s="842"/>
      <c r="FQ110" s="842"/>
      <c r="FR110" s="842"/>
      <c r="FS110" s="842"/>
      <c r="FT110" s="842"/>
      <c r="FU110" s="842"/>
      <c r="FV110" s="842"/>
      <c r="FW110" s="842"/>
    </row>
    <row r="111" spans="1:179" ht="12" customHeight="1">
      <c r="F111" s="844"/>
      <c r="G111" s="809" t="s">
        <v>1931</v>
      </c>
      <c r="H111" s="809"/>
      <c r="I111" s="809"/>
      <c r="J111" s="809"/>
      <c r="K111" s="809"/>
      <c r="L111" s="809"/>
      <c r="M111" s="809"/>
      <c r="N111" s="809"/>
      <c r="O111" s="809"/>
      <c r="P111" s="809"/>
      <c r="Q111" s="809"/>
      <c r="R111" s="809"/>
      <c r="S111" s="809"/>
      <c r="T111" s="809"/>
      <c r="U111" s="809"/>
      <c r="V111" s="809"/>
      <c r="W111" s="809"/>
      <c r="X111" s="809"/>
      <c r="Y111" s="809"/>
      <c r="Z111" s="809"/>
      <c r="AA111" s="809"/>
      <c r="AB111" s="809"/>
      <c r="AC111" s="809"/>
      <c r="AD111" s="809"/>
      <c r="AE111" s="809"/>
      <c r="AF111" s="809"/>
      <c r="AG111" s="809"/>
      <c r="AH111" s="809"/>
      <c r="AI111" s="809"/>
      <c r="AJ111" s="809"/>
      <c r="AK111" s="809"/>
      <c r="AL111" s="809"/>
      <c r="AM111" s="809"/>
      <c r="AN111" s="809"/>
      <c r="AO111" s="809"/>
      <c r="AP111" s="809"/>
      <c r="AQ111" s="809"/>
      <c r="AR111" s="809"/>
      <c r="AS111" s="809"/>
      <c r="AT111" s="809"/>
      <c r="AU111" s="809"/>
      <c r="AV111" s="809"/>
      <c r="AW111" s="809"/>
      <c r="AX111" s="809"/>
      <c r="AY111" s="809"/>
      <c r="AZ111" s="809"/>
      <c r="BA111" s="809"/>
      <c r="BB111" s="809"/>
      <c r="BC111" s="809"/>
      <c r="BD111" s="809"/>
      <c r="BE111" s="809"/>
      <c r="BF111" s="809"/>
      <c r="BG111" s="809"/>
      <c r="BH111" s="809"/>
      <c r="BI111" s="809"/>
      <c r="BJ111" s="809"/>
      <c r="BK111" s="809"/>
      <c r="BL111" s="809"/>
      <c r="BM111" s="809"/>
      <c r="BN111" s="809"/>
      <c r="BO111" s="809"/>
      <c r="BP111" s="809"/>
      <c r="BQ111" s="809"/>
      <c r="BR111" s="809"/>
      <c r="BS111" s="809"/>
      <c r="BT111" s="809"/>
      <c r="BU111" s="809"/>
      <c r="BV111" s="809"/>
      <c r="BW111" s="809"/>
      <c r="BX111" s="809"/>
      <c r="BY111" s="809"/>
      <c r="BZ111" s="809"/>
      <c r="CA111" s="809"/>
      <c r="CB111" s="809"/>
      <c r="CC111" s="809"/>
      <c r="CD111" s="809"/>
      <c r="CE111" s="809"/>
      <c r="CF111" s="809"/>
      <c r="CG111" s="809"/>
      <c r="CH111" s="809"/>
      <c r="CI111" s="809"/>
      <c r="CJ111" s="809"/>
      <c r="CK111" s="809"/>
      <c r="CL111" s="809"/>
      <c r="CM111" s="809"/>
      <c r="CN111" s="809"/>
      <c r="CO111" s="809"/>
      <c r="CP111" s="809"/>
      <c r="CQ111" s="809"/>
      <c r="CR111" s="809"/>
      <c r="CS111" s="809"/>
      <c r="CT111" s="809"/>
      <c r="CU111" s="809"/>
      <c r="CV111" s="809"/>
      <c r="CW111" s="809"/>
      <c r="CX111" s="809"/>
      <c r="CY111" s="809"/>
      <c r="CZ111" s="809"/>
      <c r="DA111" s="809"/>
      <c r="DB111" s="809"/>
      <c r="DC111" s="809"/>
      <c r="DD111" s="809"/>
      <c r="DE111" s="809"/>
      <c r="DF111" s="809"/>
      <c r="DG111" s="809"/>
      <c r="DH111" s="809"/>
      <c r="DI111" s="809"/>
      <c r="DJ111" s="809"/>
      <c r="DK111" s="809"/>
      <c r="DL111" s="809"/>
      <c r="DM111" s="809"/>
      <c r="DN111" s="809"/>
      <c r="DO111" s="809"/>
      <c r="DP111" s="809"/>
      <c r="DQ111" s="809"/>
      <c r="DR111" s="809"/>
      <c r="DS111" s="809"/>
      <c r="DT111" s="809"/>
      <c r="DU111" s="809"/>
      <c r="DV111" s="809"/>
      <c r="DW111" s="809"/>
      <c r="DX111" s="809"/>
      <c r="DY111" s="809"/>
      <c r="DZ111" s="809"/>
      <c r="EA111" s="809"/>
      <c r="EB111" s="809"/>
      <c r="EC111" s="809"/>
      <c r="ED111" s="809"/>
      <c r="EE111" s="809"/>
      <c r="EF111" s="809"/>
      <c r="EG111" s="809"/>
      <c r="EH111" s="809"/>
      <c r="EI111" s="809"/>
      <c r="EJ111" s="809"/>
      <c r="EK111" s="809"/>
      <c r="EL111" s="809"/>
      <c r="EM111" s="809"/>
      <c r="EN111" s="809"/>
      <c r="EO111" s="809"/>
      <c r="EP111" s="809"/>
      <c r="EQ111" s="809"/>
      <c r="ER111" s="809"/>
      <c r="ES111" s="809"/>
      <c r="ET111" s="809"/>
      <c r="EU111" s="809"/>
      <c r="EV111" s="809"/>
      <c r="EW111" s="809"/>
      <c r="EX111" s="809"/>
      <c r="EY111" s="809"/>
      <c r="EZ111" s="809"/>
      <c r="FA111" s="809"/>
      <c r="FB111" s="809"/>
      <c r="FC111" s="809"/>
      <c r="FD111" s="809"/>
      <c r="FE111" s="809"/>
      <c r="FF111" s="809"/>
      <c r="FG111" s="809"/>
      <c r="FH111" s="809"/>
      <c r="FI111" s="809"/>
      <c r="FJ111" s="809"/>
      <c r="FK111" s="809"/>
      <c r="FL111" s="809"/>
      <c r="FM111" s="809"/>
      <c r="FN111" s="809"/>
      <c r="FO111" s="809"/>
      <c r="FP111" s="809"/>
      <c r="FQ111" s="809"/>
      <c r="FR111" s="809"/>
      <c r="FS111" s="809"/>
      <c r="FT111" s="809"/>
      <c r="FU111" s="809"/>
      <c r="FV111" s="809"/>
      <c r="FW111" s="845"/>
    </row>
    <row r="113" spans="1:34" ht="11.25" customHeight="1">
      <c r="A113" s="764" t="s">
        <v>1932</v>
      </c>
    </row>
    <row r="115" spans="1:34" ht="15" customHeight="1">
      <c r="D115" s="1325" t="s">
        <v>110</v>
      </c>
      <c r="E115" s="1206" t="s">
        <v>106</v>
      </c>
      <c r="F115" s="1207"/>
      <c r="G115" s="1208"/>
      <c r="H115" s="1204" t="str">
        <f>IF(A115="","",INDEX(DIFFERENTIATION_UNMERGE_VD,MATCH(A115,DIFFERENTIATION_ID_DIFF,0)))</f>
        <v/>
      </c>
      <c r="I115" s="1204"/>
      <c r="J115" s="1204"/>
      <c r="K115" s="1204"/>
      <c r="L115" s="1204"/>
      <c r="M115" s="1204"/>
      <c r="N115" s="1204"/>
      <c r="O115" s="1204"/>
      <c r="P115" s="1204"/>
      <c r="Q115" s="1204"/>
      <c r="R115" s="1204"/>
      <c r="S115" s="498"/>
      <c r="T115" s="499"/>
      <c r="AC115" s="964"/>
      <c r="AE115" t="s">
        <v>22</v>
      </c>
      <c r="AG115" s="500" t="s">
        <v>610</v>
      </c>
      <c r="AH115" s="501">
        <v>3</v>
      </c>
    </row>
    <row r="116" spans="1:34" ht="15" customHeight="1">
      <c r="D116" s="1326"/>
      <c r="E116" s="1206" t="s">
        <v>565</v>
      </c>
      <c r="F116" s="1207"/>
      <c r="G116" s="1208"/>
      <c r="H116" s="1204" t="str">
        <f>IF(A115="","",INDEX(DIFFERENTIATION_UNMERGE_AREA,MATCH(A115,DIFFERENTIATION_ID_DIFF,0)))</f>
        <v/>
      </c>
      <c r="I116" s="1204"/>
      <c r="J116" s="1204"/>
      <c r="K116" s="1204"/>
      <c r="L116" s="1204"/>
      <c r="M116" s="1204"/>
      <c r="N116" s="1204"/>
      <c r="O116" s="1204"/>
      <c r="P116" s="1204"/>
      <c r="Q116" s="1204"/>
      <c r="R116" s="1204"/>
      <c r="S116" s="498"/>
      <c r="T116" s="499"/>
      <c r="AC116" s="964"/>
    </row>
    <row r="117" spans="1:34" ht="15" customHeight="1">
      <c r="D117" s="1326"/>
      <c r="E117" s="1206" t="s">
        <v>566</v>
      </c>
      <c r="F117" s="1207"/>
      <c r="G117" s="1208"/>
      <c r="H117" s="1204" t="str">
        <f>IF(A115="","",INDEX(DIFFERENTIATION_UNMERGE_SYSTEM,MATCH(A115,DIFFERENTIATION_ID_DIFF,0)))</f>
        <v/>
      </c>
      <c r="I117" s="1204"/>
      <c r="J117" s="1204"/>
      <c r="K117" s="1204"/>
      <c r="L117" s="1204"/>
      <c r="M117" s="1204"/>
      <c r="N117" s="1204"/>
      <c r="O117" s="1204"/>
      <c r="P117" s="1204"/>
      <c r="Q117" s="1204"/>
      <c r="R117" s="1204"/>
      <c r="S117" s="498"/>
      <c r="T117" s="499"/>
      <c r="AC117" s="964"/>
    </row>
    <row r="118" spans="1:34" ht="24.75" customHeight="1">
      <c r="D118" s="1326"/>
      <c r="E118" s="1205" t="s">
        <v>611</v>
      </c>
      <c r="F118" s="1205"/>
      <c r="G118" s="1205"/>
      <c r="H118" s="1205"/>
      <c r="I118" s="1205"/>
      <c r="J118" s="1205"/>
      <c r="K118" s="1205"/>
      <c r="L118" s="1205"/>
      <c r="M118" s="1205"/>
      <c r="N118" s="1205"/>
      <c r="O118" s="1205"/>
      <c r="P118" s="1205"/>
      <c r="Q118" s="454">
        <f>SUMIF(T119:T120,"i",Q119:Q120)</f>
        <v>0</v>
      </c>
      <c r="R118" s="503"/>
      <c r="S118" s="165" t="s">
        <v>612</v>
      </c>
      <c r="T118" s="499" t="s">
        <v>613</v>
      </c>
      <c r="U118" s="1115">
        <v>1</v>
      </c>
      <c r="V118" s="1115" t="s">
        <v>576</v>
      </c>
      <c r="AC118" s="964"/>
    </row>
    <row r="119" spans="1:34" ht="11.25" hidden="1" customHeight="1">
      <c r="D119" s="1326"/>
      <c r="E119" s="193"/>
      <c r="F119" s="193">
        <v>0</v>
      </c>
      <c r="G119" s="193"/>
      <c r="H119" s="193"/>
      <c r="I119" s="193"/>
      <c r="J119" s="193"/>
      <c r="K119" s="193"/>
      <c r="L119" s="193"/>
      <c r="M119" s="193"/>
      <c r="N119" s="193"/>
      <c r="O119" s="193"/>
      <c r="P119" s="193"/>
      <c r="Q119" s="193"/>
      <c r="R119" s="193"/>
      <c r="S119" s="192"/>
      <c r="T119" s="504"/>
      <c r="U119" s="964"/>
      <c r="V119" s="964"/>
      <c r="AC119" s="964"/>
    </row>
    <row r="120" spans="1:34" ht="11.25" customHeight="1">
      <c r="D120" s="1326"/>
      <c r="E120" s="403" t="s">
        <v>22</v>
      </c>
      <c r="F120" s="100" t="s">
        <v>22</v>
      </c>
      <c r="G120" s="100" t="s">
        <v>1933</v>
      </c>
      <c r="H120" s="105" t="s">
        <v>22</v>
      </c>
      <c r="I120" s="105"/>
      <c r="J120" s="105"/>
      <c r="K120" s="105"/>
      <c r="L120" s="105"/>
      <c r="M120" s="105"/>
      <c r="N120" s="105"/>
      <c r="O120" s="105"/>
      <c r="P120" s="105"/>
      <c r="Q120" s="105"/>
      <c r="R120" s="127"/>
      <c r="S120" s="847"/>
      <c r="T120" s="504"/>
      <c r="U120" s="964"/>
      <c r="V120" s="964"/>
      <c r="AC120" s="964"/>
    </row>
    <row r="121" spans="1:34" ht="24.75" customHeight="1">
      <c r="D121" s="1326"/>
      <c r="E121" s="1205" t="s">
        <v>614</v>
      </c>
      <c r="F121" s="1205"/>
      <c r="G121" s="1205"/>
      <c r="H121" s="1205"/>
      <c r="I121" s="1205"/>
      <c r="J121" s="1205"/>
      <c r="K121" s="1205"/>
      <c r="L121" s="1205"/>
      <c r="M121" s="1205"/>
      <c r="N121" s="1205"/>
      <c r="O121" s="1205"/>
      <c r="P121" s="1205"/>
      <c r="Q121" s="454">
        <f>SUMIF(T122:T123,"i",Q122:Q123)</f>
        <v>0</v>
      </c>
      <c r="R121" s="503"/>
      <c r="S121" s="165" t="s">
        <v>615</v>
      </c>
      <c r="T121" s="499" t="s">
        <v>613</v>
      </c>
      <c r="U121" s="1115">
        <v>1</v>
      </c>
      <c r="V121" s="1115" t="s">
        <v>576</v>
      </c>
    </row>
    <row r="122" spans="1:34" ht="11.25" hidden="1" customHeight="1">
      <c r="D122" s="1326"/>
      <c r="E122" s="193"/>
      <c r="F122" s="193">
        <v>0</v>
      </c>
      <c r="G122" s="193"/>
      <c r="H122" s="193"/>
      <c r="I122" s="193"/>
      <c r="J122" s="193"/>
      <c r="K122" s="193"/>
      <c r="L122" s="193"/>
      <c r="M122" s="193"/>
      <c r="N122" s="193"/>
      <c r="O122" s="193"/>
      <c r="P122" s="193"/>
      <c r="Q122" s="193"/>
      <c r="R122" s="193"/>
      <c r="S122" s="192"/>
      <c r="T122" s="504"/>
      <c r="U122" s="964"/>
      <c r="V122" s="964"/>
    </row>
    <row r="123" spans="1:34" ht="11.25" customHeight="1">
      <c r="D123" s="1327"/>
      <c r="E123" s="403" t="s">
        <v>22</v>
      </c>
      <c r="F123" s="100" t="s">
        <v>22</v>
      </c>
      <c r="G123" s="100" t="s">
        <v>1933</v>
      </c>
      <c r="H123" s="105" t="s">
        <v>22</v>
      </c>
      <c r="I123" s="105"/>
      <c r="J123" s="105"/>
      <c r="K123" s="105"/>
      <c r="L123" s="105"/>
      <c r="M123" s="105"/>
      <c r="N123" s="105"/>
      <c r="O123" s="105"/>
      <c r="P123" s="105"/>
      <c r="Q123" s="105"/>
      <c r="R123" s="127"/>
      <c r="S123" s="847"/>
      <c r="T123" s="504"/>
      <c r="U123" s="964"/>
      <c r="V123" s="964"/>
    </row>
    <row r="125" spans="1:34" ht="11.25" customHeight="1">
      <c r="A125" s="764" t="s">
        <v>1934</v>
      </c>
    </row>
    <row r="127" spans="1:34" ht="15" customHeight="1">
      <c r="D127" s="1325" t="s">
        <v>110</v>
      </c>
      <c r="E127" s="1206" t="s">
        <v>106</v>
      </c>
      <c r="F127" s="1207"/>
      <c r="G127" s="1208"/>
      <c r="H127" s="1204" t="str">
        <f>IF(A127="","",INDEX(DIFFERENTIATION_UNMERGE_VD,MATCH(A127,DIFFERENTIATION_ID_DIFF,0)))</f>
        <v/>
      </c>
      <c r="I127" s="1204"/>
      <c r="J127" s="1204"/>
      <c r="K127" s="1204"/>
      <c r="L127" s="1204"/>
      <c r="M127" s="1204"/>
      <c r="N127" s="1204"/>
      <c r="O127" s="1204"/>
      <c r="P127" s="1204"/>
      <c r="Q127" s="1204"/>
      <c r="R127" s="1204"/>
      <c r="S127" s="498"/>
      <c r="T127" s="499"/>
      <c r="AC127" s="964"/>
      <c r="AE127" t="s">
        <v>22</v>
      </c>
      <c r="AG127" s="500" t="s">
        <v>610</v>
      </c>
      <c r="AH127" s="501">
        <v>3</v>
      </c>
    </row>
    <row r="128" spans="1:34" ht="15" customHeight="1">
      <c r="D128" s="1326"/>
      <c r="E128" s="1206" t="s">
        <v>565</v>
      </c>
      <c r="F128" s="1207"/>
      <c r="G128" s="1208"/>
      <c r="H128" s="1204" t="str">
        <f>IF(A127="","",INDEX(DIFFERENTIATION_UNMERGE_AREA,MATCH(A127,DIFFERENTIATION_ID_DIFF,0)))</f>
        <v/>
      </c>
      <c r="I128" s="1204"/>
      <c r="J128" s="1204"/>
      <c r="K128" s="1204"/>
      <c r="L128" s="1204"/>
      <c r="M128" s="1204"/>
      <c r="N128" s="1204"/>
      <c r="O128" s="1204"/>
      <c r="P128" s="1204"/>
      <c r="Q128" s="1204"/>
      <c r="R128" s="1204"/>
      <c r="S128" s="498"/>
      <c r="T128" s="499"/>
      <c r="AC128" s="964"/>
    </row>
    <row r="129" spans="1:29" ht="15" customHeight="1">
      <c r="D129" s="1326"/>
      <c r="E129" s="1206" t="s">
        <v>566</v>
      </c>
      <c r="F129" s="1207"/>
      <c r="G129" s="1208"/>
      <c r="H129" s="1204" t="str">
        <f>IF(A127="","",INDEX(DIFFERENTIATION_UNMERGE_SYSTEM,MATCH(A127,DIFFERENTIATION_ID_DIFF,0)))</f>
        <v/>
      </c>
      <c r="I129" s="1204"/>
      <c r="J129" s="1204"/>
      <c r="K129" s="1204"/>
      <c r="L129" s="1204"/>
      <c r="M129" s="1204"/>
      <c r="N129" s="1204"/>
      <c r="O129" s="1204"/>
      <c r="P129" s="1204"/>
      <c r="Q129" s="1204"/>
      <c r="R129" s="1204"/>
      <c r="S129" s="498"/>
      <c r="T129" s="499"/>
      <c r="AC129" s="964"/>
    </row>
    <row r="130" spans="1:29" ht="24.75" customHeight="1">
      <c r="D130" s="1326"/>
      <c r="E130" s="1205" t="s">
        <v>611</v>
      </c>
      <c r="F130" s="1205"/>
      <c r="G130" s="1205"/>
      <c r="H130" s="1205"/>
      <c r="I130" s="1205"/>
      <c r="J130" s="1205"/>
      <c r="K130" s="1205"/>
      <c r="L130" s="1205"/>
      <c r="M130" s="1205"/>
      <c r="N130" s="1205"/>
      <c r="O130" s="1205"/>
      <c r="P130" s="1205"/>
      <c r="Q130" s="454">
        <f>SUMIF(T131:T132,"i",Q131:Q132)</f>
        <v>0</v>
      </c>
      <c r="R130" s="503"/>
      <c r="S130" s="165" t="s">
        <v>612</v>
      </c>
      <c r="T130" s="499" t="s">
        <v>613</v>
      </c>
      <c r="U130" s="1115">
        <v>1</v>
      </c>
      <c r="V130" s="1115" t="s">
        <v>576</v>
      </c>
      <c r="AC130" s="964"/>
    </row>
    <row r="131" spans="1:29" ht="11.25" hidden="1" customHeight="1">
      <c r="D131" s="1326"/>
      <c r="E131" s="193"/>
      <c r="F131" s="193">
        <v>0</v>
      </c>
      <c r="G131" s="193"/>
      <c r="H131" s="193"/>
      <c r="I131" s="193"/>
      <c r="J131" s="193"/>
      <c r="K131" s="193"/>
      <c r="L131" s="193"/>
      <c r="M131" s="193"/>
      <c r="N131" s="193"/>
      <c r="O131" s="193"/>
      <c r="P131" s="193"/>
      <c r="Q131" s="193"/>
      <c r="R131" s="193"/>
      <c r="S131" s="192"/>
      <c r="T131" s="504"/>
      <c r="U131" s="964"/>
      <c r="V131" s="964"/>
      <c r="AC131" s="964"/>
    </row>
    <row r="132" spans="1:29" ht="11.25" customHeight="1">
      <c r="D132" s="1326"/>
      <c r="E132" s="403" t="s">
        <v>22</v>
      </c>
      <c r="F132" s="100" t="s">
        <v>22</v>
      </c>
      <c r="G132" s="100" t="s">
        <v>1933</v>
      </c>
      <c r="H132" s="105" t="s">
        <v>22</v>
      </c>
      <c r="I132" s="105"/>
      <c r="J132" s="105"/>
      <c r="K132" s="105"/>
      <c r="L132" s="105"/>
      <c r="M132" s="105"/>
      <c r="N132" s="105"/>
      <c r="O132" s="105"/>
      <c r="P132" s="105"/>
      <c r="Q132" s="105"/>
      <c r="R132" s="127"/>
      <c r="S132" s="847"/>
      <c r="T132" s="504"/>
      <c r="U132" s="964"/>
      <c r="V132" s="964"/>
      <c r="AC132" s="964"/>
    </row>
    <row r="133" spans="1:29" ht="5.25" hidden="1" customHeight="1">
      <c r="D133" s="1326"/>
      <c r="E133" s="848"/>
      <c r="F133" s="848"/>
      <c r="G133" s="848"/>
      <c r="H133" s="848"/>
      <c r="I133" s="848"/>
      <c r="J133" s="848"/>
      <c r="K133" s="848"/>
      <c r="L133" s="848"/>
      <c r="M133" s="848"/>
      <c r="N133" s="848"/>
      <c r="O133" s="848"/>
      <c r="P133" s="848"/>
      <c r="Q133" s="413"/>
      <c r="R133" s="849"/>
      <c r="S133" s="193"/>
      <c r="T133" s="499" t="s">
        <v>613</v>
      </c>
      <c r="U133" s="1115">
        <v>1</v>
      </c>
      <c r="V133" s="1115" t="s">
        <v>576</v>
      </c>
    </row>
    <row r="134" spans="1:29" ht="5.25" hidden="1" customHeight="1">
      <c r="D134" s="1326"/>
      <c r="E134" s="193"/>
      <c r="F134" s="193"/>
      <c r="G134" s="193"/>
      <c r="H134" s="193"/>
      <c r="I134" s="193"/>
      <c r="J134" s="193"/>
      <c r="K134" s="193"/>
      <c r="L134" s="193"/>
      <c r="M134" s="193"/>
      <c r="N134" s="193"/>
      <c r="O134" s="193"/>
      <c r="P134" s="193"/>
      <c r="Q134" s="193"/>
      <c r="R134" s="193"/>
      <c r="S134" s="192"/>
      <c r="T134" s="504"/>
      <c r="U134" s="964"/>
      <c r="V134" s="964"/>
    </row>
    <row r="135" spans="1:29" ht="5.25" hidden="1" customHeight="1">
      <c r="D135" s="1327"/>
      <c r="E135" s="850"/>
      <c r="F135" s="851"/>
      <c r="G135" s="851"/>
      <c r="H135" s="852"/>
      <c r="I135" s="852"/>
      <c r="J135" s="852"/>
      <c r="K135" s="852"/>
      <c r="L135" s="852"/>
      <c r="M135" s="852"/>
      <c r="N135" s="852"/>
      <c r="O135" s="852"/>
      <c r="P135" s="852"/>
      <c r="Q135" s="852"/>
      <c r="R135" s="853"/>
      <c r="S135" s="854"/>
      <c r="T135" s="504"/>
      <c r="U135" s="964"/>
      <c r="V135" s="964"/>
    </row>
    <row r="136" spans="1:29" ht="17.25" customHeight="1">
      <c r="D136" s="855"/>
    </row>
    <row r="137" spans="1:29" ht="11.25" customHeight="1">
      <c r="A137" s="764" t="s">
        <v>1935</v>
      </c>
    </row>
    <row r="139" spans="1:29" ht="45" customHeight="1">
      <c r="E139" s="1330"/>
      <c r="F139" s="1005" t="s">
        <v>110</v>
      </c>
      <c r="G139" s="1333" t="s">
        <v>22</v>
      </c>
      <c r="H139" s="296"/>
      <c r="I139" s="856" t="s">
        <v>110</v>
      </c>
      <c r="J139" s="533" t="s">
        <v>1936</v>
      </c>
      <c r="K139" s="138" t="s">
        <v>547</v>
      </c>
      <c r="L139" s="1079" t="s">
        <v>547</v>
      </c>
      <c r="M139" s="1044"/>
      <c r="N139" s="138" t="s">
        <v>547</v>
      </c>
      <c r="O139" s="138" t="s">
        <v>547</v>
      </c>
      <c r="P139" s="138" t="s">
        <v>547</v>
      </c>
      <c r="Q139" s="603">
        <f>SUM(Q140:Q142)</f>
        <v>0</v>
      </c>
      <c r="R139" s="603">
        <f>IF(R136=0,0,(Q136/R136)*100)</f>
        <v>0</v>
      </c>
      <c r="S139" s="1056"/>
      <c r="T139" s="499" t="s">
        <v>613</v>
      </c>
    </row>
    <row r="140" spans="1:29" ht="11.25" customHeight="1">
      <c r="E140" s="1331"/>
      <c r="F140" s="1005"/>
      <c r="G140" s="1333"/>
      <c r="H140" s="995"/>
      <c r="I140" s="1260" t="s">
        <v>1024</v>
      </c>
      <c r="J140" s="1328"/>
      <c r="K140" s="1329"/>
      <c r="L140" s="629"/>
      <c r="M140" s="857" t="s">
        <v>110</v>
      </c>
      <c r="N140" s="199"/>
      <c r="O140" s="262"/>
      <c r="P140" s="317"/>
      <c r="Q140" s="262"/>
      <c r="R140" s="330">
        <v>0</v>
      </c>
      <c r="S140" s="1056"/>
      <c r="T140" s="499"/>
    </row>
    <row r="141" spans="1:29" ht="11.25" customHeight="1">
      <c r="E141" s="1331"/>
      <c r="F141" s="1005"/>
      <c r="G141" s="1333"/>
      <c r="H141" s="995"/>
      <c r="I141" s="1260"/>
      <c r="J141" s="1328"/>
      <c r="K141" s="1322"/>
      <c r="L141" s="858"/>
      <c r="M141" s="859"/>
      <c r="N141" s="105" t="s">
        <v>1937</v>
      </c>
      <c r="O141" s="105"/>
      <c r="P141" s="105"/>
      <c r="Q141" s="105"/>
      <c r="R141" s="127"/>
      <c r="S141" s="1056"/>
      <c r="T141" s="499"/>
    </row>
    <row r="142" spans="1:29" ht="11.25" customHeight="1">
      <c r="E142" s="1332"/>
      <c r="F142" s="1005"/>
      <c r="G142" s="1334"/>
      <c r="H142" s="858" t="s">
        <v>22</v>
      </c>
      <c r="I142" s="859"/>
      <c r="J142" s="105" t="s">
        <v>1938</v>
      </c>
      <c r="K142" s="105"/>
      <c r="L142" s="105"/>
      <c r="M142" s="105"/>
      <c r="N142" s="105"/>
      <c r="O142" s="105"/>
      <c r="P142" s="105"/>
      <c r="Q142" s="105"/>
      <c r="R142" s="127"/>
      <c r="S142" s="1056"/>
      <c r="T142" s="499"/>
    </row>
    <row r="147" spans="1:23" ht="11.25" customHeight="1">
      <c r="E147" s="813"/>
      <c r="F147" s="813"/>
      <c r="G147" s="813"/>
      <c r="H147" s="995"/>
      <c r="I147" s="1260" t="s">
        <v>1024</v>
      </c>
      <c r="J147" s="1328"/>
      <c r="K147" s="1329"/>
      <c r="L147" s="629"/>
      <c r="M147" s="857" t="s">
        <v>110</v>
      </c>
      <c r="N147" s="199"/>
      <c r="O147" s="262"/>
      <c r="P147" s="317"/>
      <c r="Q147" s="262"/>
      <c r="R147" s="330">
        <v>0</v>
      </c>
      <c r="T147" s="499"/>
    </row>
    <row r="148" spans="1:23" ht="11.25" customHeight="1">
      <c r="E148" s="813"/>
      <c r="F148" s="813"/>
      <c r="G148" s="813"/>
      <c r="H148" s="995"/>
      <c r="I148" s="1260"/>
      <c r="J148" s="1328"/>
      <c r="K148" s="1322"/>
      <c r="L148" s="858"/>
      <c r="M148" s="859"/>
      <c r="N148" s="105" t="s">
        <v>1937</v>
      </c>
      <c r="O148" s="105"/>
      <c r="P148" s="105"/>
      <c r="Q148" s="105"/>
      <c r="R148" s="127"/>
      <c r="T148" s="499"/>
    </row>
    <row r="150" spans="1:23" ht="11.25" customHeight="1">
      <c r="E150" s="860"/>
      <c r="H150" s="861"/>
      <c r="I150" s="813"/>
      <c r="J150" s="815"/>
      <c r="K150" s="815"/>
      <c r="L150" s="629"/>
      <c r="M150" s="857" t="s">
        <v>110</v>
      </c>
      <c r="N150" s="199"/>
      <c r="O150" s="262"/>
      <c r="P150" s="317"/>
      <c r="Q150" s="262"/>
      <c r="R150" s="330">
        <v>0</v>
      </c>
      <c r="T150" s="499"/>
    </row>
    <row r="152" spans="1:23" ht="17.25" customHeight="1">
      <c r="A152" s="764" t="s">
        <v>1939</v>
      </c>
    </row>
    <row r="153" spans="1:23" ht="17.25" customHeight="1"/>
    <row r="154" spans="1:23" ht="17.25" customHeight="1">
      <c r="D154" s="1319"/>
      <c r="E154" s="1014"/>
      <c r="F154" s="1023"/>
      <c r="G154" s="1323"/>
      <c r="H154" s="1319"/>
      <c r="I154" s="1319">
        <v>1</v>
      </c>
      <c r="J154" s="1337"/>
      <c r="K154" s="1059" t="s">
        <v>66</v>
      </c>
      <c r="L154" s="1005"/>
      <c r="M154" s="1005" t="s">
        <v>110</v>
      </c>
      <c r="N154" s="1335" t="str">
        <f>IF(Z154="","",INDEX(TERRITORY_MR_LIST,MATCH(Z154,TERRITORY_LIST_ID,0)))</f>
        <v/>
      </c>
      <c r="O154" s="1059" t="s">
        <v>66</v>
      </c>
      <c r="P154" s="1005"/>
      <c r="Q154" s="1005" t="s">
        <v>110</v>
      </c>
      <c r="R154" s="1322" t="s">
        <v>22</v>
      </c>
      <c r="S154" s="1004" t="s">
        <v>66</v>
      </c>
      <c r="T154" s="121"/>
      <c r="U154" s="121" t="s">
        <v>110</v>
      </c>
      <c r="V154" s="199" t="s">
        <v>22</v>
      </c>
      <c r="W154" s="225"/>
    </row>
    <row r="155" spans="1:23" ht="17.25" customHeight="1">
      <c r="D155" s="1319"/>
      <c r="E155" s="1014"/>
      <c r="F155" s="1024"/>
      <c r="G155" s="1323"/>
      <c r="H155" s="1319"/>
      <c r="I155" s="1319"/>
      <c r="J155" s="1337"/>
      <c r="K155" s="1060"/>
      <c r="L155" s="1005"/>
      <c r="M155" s="1005"/>
      <c r="N155" s="1335"/>
      <c r="O155" s="1060"/>
      <c r="P155" s="1005"/>
      <c r="Q155" s="1005"/>
      <c r="R155" s="1322"/>
      <c r="S155" s="1004"/>
      <c r="T155" s="862"/>
      <c r="U155" s="863"/>
      <c r="V155" s="863" t="s">
        <v>415</v>
      </c>
      <c r="W155" s="864"/>
    </row>
    <row r="156" spans="1:23" ht="17.25" customHeight="1">
      <c r="D156" s="1022"/>
      <c r="E156" s="1015"/>
      <c r="F156" s="1024"/>
      <c r="G156" s="1324"/>
      <c r="H156" s="1022"/>
      <c r="I156" s="1022"/>
      <c r="J156" s="1338"/>
      <c r="K156" s="1060"/>
      <c r="L156" s="1022"/>
      <c r="M156" s="1022"/>
      <c r="N156" s="1336"/>
      <c r="O156" s="1009"/>
      <c r="P156" s="862"/>
      <c r="Q156" s="863"/>
      <c r="R156" s="863" t="s">
        <v>416</v>
      </c>
      <c r="S156" s="865"/>
      <c r="T156" s="865"/>
      <c r="U156" s="865"/>
      <c r="V156" s="865"/>
      <c r="W156" s="864"/>
    </row>
    <row r="157" spans="1:23" ht="17.25" customHeight="1">
      <c r="D157" s="1022"/>
      <c r="E157" s="1015"/>
      <c r="F157" s="1024"/>
      <c r="G157" s="1324"/>
      <c r="H157" s="1022"/>
      <c r="I157" s="1022"/>
      <c r="J157" s="1338"/>
      <c r="K157" s="1009"/>
      <c r="L157" s="862"/>
      <c r="M157" s="863"/>
      <c r="N157" s="863" t="s">
        <v>417</v>
      </c>
      <c r="O157" s="863"/>
      <c r="P157" s="863"/>
      <c r="Q157" s="863"/>
      <c r="R157" s="863"/>
      <c r="S157" s="865"/>
      <c r="T157" s="865"/>
      <c r="U157" s="865"/>
      <c r="V157" s="865"/>
      <c r="W157" s="864"/>
    </row>
    <row r="158" spans="1:23" ht="17.25" customHeight="1">
      <c r="D158" s="1022"/>
      <c r="E158" s="1015"/>
      <c r="F158" s="1025"/>
      <c r="G158" s="1324"/>
      <c r="H158" s="862"/>
      <c r="I158" s="863"/>
      <c r="J158" s="863" t="s">
        <v>449</v>
      </c>
      <c r="K158" s="863"/>
      <c r="L158" s="863"/>
      <c r="M158" s="863"/>
      <c r="N158" s="863"/>
      <c r="O158" s="863"/>
      <c r="P158" s="863"/>
      <c r="Q158" s="863"/>
      <c r="R158" s="863"/>
      <c r="S158" s="865"/>
      <c r="T158" s="865"/>
      <c r="U158" s="865"/>
      <c r="V158" s="865"/>
      <c r="W158" s="864"/>
    </row>
    <row r="159" spans="1:23" ht="17.25" customHeight="1"/>
    <row r="160" spans="1:23" ht="17.25" customHeight="1">
      <c r="D160" s="813"/>
      <c r="E160" s="866"/>
      <c r="F160" s="146"/>
      <c r="G160" s="867"/>
      <c r="H160" s="1319"/>
      <c r="I160" s="1319">
        <v>1</v>
      </c>
      <c r="J160" s="1337"/>
      <c r="K160" s="1059" t="s">
        <v>66</v>
      </c>
      <c r="L160" s="1005"/>
      <c r="M160" s="1005" t="s">
        <v>110</v>
      </c>
      <c r="N160" s="1335" t="str">
        <f>IF(Z160="","",INDEX(TERRITORY_MR_LIST,MATCH(Z160,TERRITORY_LIST_ID,0)))</f>
        <v/>
      </c>
      <c r="O160" s="1059" t="s">
        <v>66</v>
      </c>
      <c r="P160" s="1005"/>
      <c r="Q160" s="1005" t="s">
        <v>110</v>
      </c>
      <c r="R160" s="1322" t="s">
        <v>22</v>
      </c>
      <c r="S160" s="1004" t="s">
        <v>66</v>
      </c>
      <c r="T160" s="121"/>
      <c r="U160" s="121" t="s">
        <v>110</v>
      </c>
      <c r="V160" s="199" t="s">
        <v>22</v>
      </c>
      <c r="W160" s="225"/>
    </row>
    <row r="161" spans="1:23" ht="17.25" customHeight="1">
      <c r="D161" s="813"/>
      <c r="E161" s="866"/>
      <c r="F161" s="146"/>
      <c r="G161" s="867"/>
      <c r="H161" s="1319"/>
      <c r="I161" s="1319"/>
      <c r="J161" s="1337"/>
      <c r="K161" s="1060"/>
      <c r="L161" s="1005"/>
      <c r="M161" s="1005"/>
      <c r="N161" s="1335"/>
      <c r="O161" s="1060"/>
      <c r="P161" s="1005"/>
      <c r="Q161" s="1005"/>
      <c r="R161" s="1322"/>
      <c r="S161" s="1004"/>
      <c r="T161" s="862"/>
      <c r="U161" s="863"/>
      <c r="V161" s="863" t="s">
        <v>415</v>
      </c>
      <c r="W161" s="864"/>
    </row>
    <row r="162" spans="1:23" ht="17.25" customHeight="1">
      <c r="D162" s="813"/>
      <c r="E162" s="866"/>
      <c r="F162" s="146"/>
      <c r="G162" s="867"/>
      <c r="H162" s="1022"/>
      <c r="I162" s="1022"/>
      <c r="J162" s="1338"/>
      <c r="K162" s="1060"/>
      <c r="L162" s="1022"/>
      <c r="M162" s="1022"/>
      <c r="N162" s="1336"/>
      <c r="O162" s="1009"/>
      <c r="P162" s="862"/>
      <c r="Q162" s="863"/>
      <c r="R162" s="863" t="s">
        <v>416</v>
      </c>
      <c r="S162" s="865"/>
      <c r="T162" s="865"/>
      <c r="U162" s="865"/>
      <c r="V162" s="865"/>
      <c r="W162" s="864"/>
    </row>
    <row r="163" spans="1:23" ht="17.25" customHeight="1">
      <c r="D163" s="813"/>
      <c r="E163" s="866"/>
      <c r="F163" s="146"/>
      <c r="G163" s="867"/>
      <c r="H163" s="1022"/>
      <c r="I163" s="1022"/>
      <c r="J163" s="1338"/>
      <c r="K163" s="1009"/>
      <c r="L163" s="862"/>
      <c r="M163" s="863"/>
      <c r="N163" s="863" t="s">
        <v>417</v>
      </c>
      <c r="O163" s="863"/>
      <c r="P163" s="863"/>
      <c r="Q163" s="863"/>
      <c r="R163" s="863"/>
      <c r="S163" s="865"/>
      <c r="T163" s="865"/>
      <c r="U163" s="865"/>
      <c r="V163" s="865"/>
      <c r="W163" s="864"/>
    </row>
    <row r="164" spans="1:23" ht="17.25" customHeight="1"/>
    <row r="165" spans="1:23" ht="17.25" customHeight="1">
      <c r="D165" s="813"/>
      <c r="E165" s="866"/>
      <c r="F165" s="146"/>
      <c r="G165" s="867"/>
      <c r="H165" s="813"/>
      <c r="I165" s="813"/>
      <c r="J165" s="868"/>
      <c r="K165" s="869"/>
      <c r="L165" s="1005"/>
      <c r="M165" s="1005" t="s">
        <v>110</v>
      </c>
      <c r="N165" s="1335" t="str">
        <f>IF(Z165="","",INDEX(TERRITORY_MR_LIST,MATCH(Z165,TERRITORY_LIST_ID,0)))</f>
        <v/>
      </c>
      <c r="O165" s="1059" t="s">
        <v>66</v>
      </c>
      <c r="P165" s="1005"/>
      <c r="Q165" s="1005" t="s">
        <v>110</v>
      </c>
      <c r="R165" s="1322" t="s">
        <v>22</v>
      </c>
      <c r="S165" s="1004" t="s">
        <v>66</v>
      </c>
      <c r="T165" s="121"/>
      <c r="U165" s="121" t="s">
        <v>110</v>
      </c>
      <c r="V165" s="199" t="s">
        <v>22</v>
      </c>
      <c r="W165" s="225"/>
    </row>
    <row r="166" spans="1:23" ht="17.25" customHeight="1">
      <c r="D166" s="813"/>
      <c r="E166" s="866"/>
      <c r="F166" s="146"/>
      <c r="G166" s="867"/>
      <c r="H166" s="813"/>
      <c r="I166" s="813"/>
      <c r="J166" s="868"/>
      <c r="K166" s="869"/>
      <c r="L166" s="1005"/>
      <c r="M166" s="1005"/>
      <c r="N166" s="1335"/>
      <c r="O166" s="1060"/>
      <c r="P166" s="1005"/>
      <c r="Q166" s="1005"/>
      <c r="R166" s="1322"/>
      <c r="S166" s="1004"/>
      <c r="T166" s="862"/>
      <c r="U166" s="863"/>
      <c r="V166" s="863" t="s">
        <v>415</v>
      </c>
      <c r="W166" s="864"/>
    </row>
    <row r="167" spans="1:23" ht="17.25" customHeight="1">
      <c r="D167" s="813"/>
      <c r="E167" s="866"/>
      <c r="F167" s="146"/>
      <c r="G167" s="867"/>
      <c r="H167" s="813"/>
      <c r="I167" s="813"/>
      <c r="J167" s="868"/>
      <c r="K167" s="869"/>
      <c r="L167" s="1022"/>
      <c r="M167" s="1022"/>
      <c r="N167" s="1336"/>
      <c r="O167" s="1009"/>
      <c r="P167" s="862"/>
      <c r="Q167" s="863"/>
      <c r="R167" s="863" t="s">
        <v>416</v>
      </c>
      <c r="S167" s="865"/>
      <c r="T167" s="865"/>
      <c r="U167" s="865"/>
      <c r="V167" s="865"/>
      <c r="W167" s="864"/>
    </row>
    <row r="168" spans="1:23" ht="17.25" customHeight="1"/>
    <row r="169" spans="1:23" ht="17.25" customHeight="1">
      <c r="D169" s="813"/>
      <c r="E169" s="866"/>
      <c r="F169" s="146"/>
      <c r="G169" s="867"/>
      <c r="H169" s="813"/>
      <c r="I169" s="813"/>
      <c r="J169" s="868"/>
      <c r="K169" s="869"/>
      <c r="L169" s="870"/>
      <c r="M169" s="870"/>
      <c r="N169" s="871"/>
      <c r="O169" s="170"/>
      <c r="P169" s="1005"/>
      <c r="Q169" s="1005" t="s">
        <v>110</v>
      </c>
      <c r="R169" s="1322" t="s">
        <v>22</v>
      </c>
      <c r="S169" s="1004" t="s">
        <v>66</v>
      </c>
      <c r="T169" s="121"/>
      <c r="U169" s="121" t="s">
        <v>110</v>
      </c>
      <c r="V169" s="199" t="s">
        <v>22</v>
      </c>
      <c r="W169" s="225"/>
    </row>
    <row r="170" spans="1:23" ht="17.25" customHeight="1">
      <c r="D170" s="813"/>
      <c r="E170" s="866"/>
      <c r="F170" s="146"/>
      <c r="G170" s="867"/>
      <c r="H170" s="813"/>
      <c r="I170" s="813"/>
      <c r="J170" s="868"/>
      <c r="K170" s="869"/>
      <c r="L170" s="870"/>
      <c r="M170" s="870"/>
      <c r="N170" s="871"/>
      <c r="O170" s="170"/>
      <c r="P170" s="1005"/>
      <c r="Q170" s="1005"/>
      <c r="R170" s="1322"/>
      <c r="S170" s="1004"/>
      <c r="T170" s="862"/>
      <c r="U170" s="863"/>
      <c r="V170" s="863" t="s">
        <v>415</v>
      </c>
      <c r="W170" s="864"/>
    </row>
    <row r="171" spans="1:23" ht="17.25" customHeight="1"/>
    <row r="172" spans="1:23" ht="17.25" customHeight="1">
      <c r="D172" s="813"/>
      <c r="E172" s="866"/>
      <c r="F172" s="146"/>
      <c r="G172" s="867"/>
      <c r="H172" s="870"/>
      <c r="I172" s="870"/>
      <c r="J172" s="872"/>
      <c r="K172" s="867"/>
      <c r="L172" s="870"/>
      <c r="M172" s="870"/>
      <c r="N172" s="867"/>
      <c r="O172" s="867"/>
      <c r="P172" s="870"/>
      <c r="Q172" s="870"/>
      <c r="R172" s="873"/>
      <c r="S172" s="867"/>
      <c r="T172" s="121"/>
      <c r="U172" s="121" t="s">
        <v>110</v>
      </c>
      <c r="V172" s="199" t="s">
        <v>22</v>
      </c>
      <c r="W172" s="225"/>
    </row>
    <row r="174" spans="1:23" ht="17.25" customHeight="1">
      <c r="A174" s="764" t="s">
        <v>1940</v>
      </c>
    </row>
    <row r="175" spans="1:23" ht="17.25" customHeight="1"/>
    <row r="176" spans="1:23" ht="17.25" customHeight="1">
      <c r="D176" s="1319"/>
      <c r="E176" s="1014"/>
      <c r="F176" s="1023"/>
      <c r="G176" s="1323"/>
      <c r="H176" s="1319"/>
      <c r="I176" s="1319">
        <v>1</v>
      </c>
      <c r="J176" s="1337"/>
      <c r="K176" s="1059" t="s">
        <v>66</v>
      </c>
      <c r="L176" s="1005"/>
      <c r="M176" s="1005" t="s">
        <v>110</v>
      </c>
      <c r="N176" s="1335" t="str">
        <f>IF(Z176="","",INDEX(TERRITORY_MR_LIST,MATCH(Z176,TERRITORY_LIST_ID,0)))</f>
        <v/>
      </c>
      <c r="O176" s="1059" t="s">
        <v>66</v>
      </c>
      <c r="P176" s="1005"/>
      <c r="Q176" s="1005" t="s">
        <v>110</v>
      </c>
      <c r="R176" s="1322" t="s">
        <v>22</v>
      </c>
      <c r="S176" s="1224" t="s">
        <v>19</v>
      </c>
      <c r="T176" s="416"/>
      <c r="U176" s="416" t="s">
        <v>110</v>
      </c>
      <c r="V176" s="874"/>
      <c r="W176" s="1337"/>
    </row>
    <row r="177" spans="4:23" ht="17.25" customHeight="1">
      <c r="D177" s="1319"/>
      <c r="E177" s="1014"/>
      <c r="F177" s="1024"/>
      <c r="G177" s="1323"/>
      <c r="H177" s="1319"/>
      <c r="I177" s="1319"/>
      <c r="J177" s="1337"/>
      <c r="K177" s="1060"/>
      <c r="L177" s="1005"/>
      <c r="M177" s="1005"/>
      <c r="N177" s="1335"/>
      <c r="O177" s="1060"/>
      <c r="P177" s="1005"/>
      <c r="Q177" s="1005"/>
      <c r="R177" s="1322"/>
      <c r="S177" s="1224"/>
      <c r="T177" s="875"/>
      <c r="U177" s="876"/>
      <c r="V177" s="876"/>
      <c r="W177" s="1337"/>
    </row>
    <row r="178" spans="4:23" ht="17.25" customHeight="1">
      <c r="D178" s="1022"/>
      <c r="E178" s="1015"/>
      <c r="F178" s="1024"/>
      <c r="G178" s="1324"/>
      <c r="H178" s="1022"/>
      <c r="I178" s="1022"/>
      <c r="J178" s="1338"/>
      <c r="K178" s="1060"/>
      <c r="L178" s="1022"/>
      <c r="M178" s="1022"/>
      <c r="N178" s="1336"/>
      <c r="O178" s="1009"/>
      <c r="P178" s="862"/>
      <c r="Q178" s="863"/>
      <c r="R178" s="863" t="s">
        <v>416</v>
      </c>
      <c r="S178" s="865"/>
      <c r="T178" s="865"/>
      <c r="U178" s="865"/>
      <c r="V178" s="865"/>
      <c r="W178" s="877"/>
    </row>
    <row r="179" spans="4:23" ht="17.25" customHeight="1">
      <c r="D179" s="1022"/>
      <c r="E179" s="1015"/>
      <c r="F179" s="1024"/>
      <c r="G179" s="1324"/>
      <c r="H179" s="1022"/>
      <c r="I179" s="1022"/>
      <c r="J179" s="1338"/>
      <c r="K179" s="1009"/>
      <c r="L179" s="862"/>
      <c r="M179" s="863"/>
      <c r="N179" s="863" t="s">
        <v>417</v>
      </c>
      <c r="O179" s="863"/>
      <c r="P179" s="863"/>
      <c r="Q179" s="863"/>
      <c r="R179" s="863"/>
      <c r="S179" s="865"/>
      <c r="T179" s="865"/>
      <c r="U179" s="865"/>
      <c r="V179" s="865"/>
      <c r="W179" s="864"/>
    </row>
    <row r="180" spans="4:23" ht="17.25" customHeight="1">
      <c r="D180" s="1022"/>
      <c r="E180" s="1015"/>
      <c r="F180" s="1025"/>
      <c r="G180" s="1324"/>
      <c r="H180" s="862"/>
      <c r="I180" s="863"/>
      <c r="J180" s="863" t="s">
        <v>449</v>
      </c>
      <c r="K180" s="863"/>
      <c r="L180" s="863"/>
      <c r="M180" s="863"/>
      <c r="N180" s="863"/>
      <c r="O180" s="863"/>
      <c r="P180" s="863"/>
      <c r="Q180" s="863"/>
      <c r="R180" s="863"/>
      <c r="S180" s="865"/>
      <c r="T180" s="865"/>
      <c r="U180" s="865"/>
      <c r="V180" s="865"/>
      <c r="W180" s="864"/>
    </row>
    <row r="181" spans="4:23" ht="17.25" customHeight="1"/>
    <row r="182" spans="4:23" ht="17.25" customHeight="1">
      <c r="D182" s="813"/>
      <c r="E182" s="866"/>
      <c r="F182" s="146"/>
      <c r="G182" s="867"/>
      <c r="H182" s="1319"/>
      <c r="I182" s="1319">
        <v>1</v>
      </c>
      <c r="J182" s="1337"/>
      <c r="K182" s="1059" t="s">
        <v>66</v>
      </c>
      <c r="L182" s="1005"/>
      <c r="M182" s="1005" t="s">
        <v>110</v>
      </c>
      <c r="N182" s="1335" t="str">
        <f>IF(Z182="","",INDEX(TERRITORY_MR_LIST,MATCH(Z182,TERRITORY_LIST_ID,0)))</f>
        <v/>
      </c>
      <c r="O182" s="1059" t="s">
        <v>66</v>
      </c>
      <c r="P182" s="1005"/>
      <c r="Q182" s="1005" t="s">
        <v>110</v>
      </c>
      <c r="R182" s="1322" t="s">
        <v>22</v>
      </c>
      <c r="S182" s="1224" t="s">
        <v>19</v>
      </c>
      <c r="T182" s="416"/>
      <c r="U182" s="416" t="s">
        <v>110</v>
      </c>
      <c r="V182" s="874"/>
      <c r="W182" s="1337"/>
    </row>
    <row r="183" spans="4:23" ht="17.25" customHeight="1">
      <c r="D183" s="813"/>
      <c r="E183" s="866"/>
      <c r="F183" s="146"/>
      <c r="G183" s="867"/>
      <c r="H183" s="1319"/>
      <c r="I183" s="1319"/>
      <c r="J183" s="1337"/>
      <c r="K183" s="1060"/>
      <c r="L183" s="1005"/>
      <c r="M183" s="1005"/>
      <c r="N183" s="1335"/>
      <c r="O183" s="1060"/>
      <c r="P183" s="1005"/>
      <c r="Q183" s="1005"/>
      <c r="R183" s="1322"/>
      <c r="S183" s="1224"/>
      <c r="T183" s="875"/>
      <c r="U183" s="876"/>
      <c r="V183" s="876"/>
      <c r="W183" s="1337"/>
    </row>
    <row r="184" spans="4:23" ht="17.25" customHeight="1">
      <c r="D184" s="813"/>
      <c r="E184" s="866"/>
      <c r="F184" s="146"/>
      <c r="G184" s="867"/>
      <c r="H184" s="1022"/>
      <c r="I184" s="1022"/>
      <c r="J184" s="1338"/>
      <c r="K184" s="1060"/>
      <c r="L184" s="1022"/>
      <c r="M184" s="1022"/>
      <c r="N184" s="1336"/>
      <c r="O184" s="1009"/>
      <c r="P184" s="862"/>
      <c r="Q184" s="863"/>
      <c r="R184" s="863" t="s">
        <v>416</v>
      </c>
      <c r="S184" s="865"/>
      <c r="T184" s="865"/>
      <c r="U184" s="865"/>
      <c r="V184" s="865"/>
      <c r="W184" s="877"/>
    </row>
    <row r="185" spans="4:23" ht="17.25" customHeight="1">
      <c r="D185" s="813"/>
      <c r="E185" s="866"/>
      <c r="F185" s="146"/>
      <c r="G185" s="867"/>
      <c r="H185" s="1022"/>
      <c r="I185" s="1022"/>
      <c r="J185" s="1338"/>
      <c r="K185" s="1009"/>
      <c r="L185" s="862"/>
      <c r="M185" s="863"/>
      <c r="N185" s="863" t="s">
        <v>417</v>
      </c>
      <c r="O185" s="863"/>
      <c r="P185" s="863"/>
      <c r="Q185" s="863"/>
      <c r="R185" s="863"/>
      <c r="S185" s="865"/>
      <c r="T185" s="865"/>
      <c r="U185" s="865"/>
      <c r="V185" s="865"/>
      <c r="W185" s="864"/>
    </row>
    <row r="186" spans="4:23" ht="17.25" customHeight="1"/>
    <row r="187" spans="4:23" ht="17.25" customHeight="1">
      <c r="D187" s="813"/>
      <c r="E187" s="866"/>
      <c r="F187" s="146"/>
      <c r="G187" s="867"/>
      <c r="H187" s="813"/>
      <c r="I187" s="813"/>
      <c r="J187" s="878"/>
      <c r="K187" s="867"/>
      <c r="L187" s="1005"/>
      <c r="M187" s="1005" t="s">
        <v>110</v>
      </c>
      <c r="N187" s="1335" t="str">
        <f>IF(Z187="","",INDEX(TERRITORY_MR_LIST,MATCH(Z187,TERRITORY_LIST_ID,0)))</f>
        <v/>
      </c>
      <c r="O187" s="1059" t="s">
        <v>66</v>
      </c>
      <c r="P187" s="1005"/>
      <c r="Q187" s="1005" t="s">
        <v>110</v>
      </c>
      <c r="R187" s="1322" t="s">
        <v>22</v>
      </c>
      <c r="S187" s="1224" t="s">
        <v>19</v>
      </c>
      <c r="T187" s="416"/>
      <c r="U187" s="416" t="s">
        <v>110</v>
      </c>
      <c r="V187" s="874"/>
      <c r="W187" s="1337"/>
    </row>
    <row r="188" spans="4:23" ht="17.25" customHeight="1">
      <c r="D188" s="813"/>
      <c r="E188" s="866"/>
      <c r="F188" s="146"/>
      <c r="G188" s="867"/>
      <c r="H188" s="813"/>
      <c r="I188" s="813"/>
      <c r="J188" s="878"/>
      <c r="K188" s="867"/>
      <c r="L188" s="1005"/>
      <c r="M188" s="1005"/>
      <c r="N188" s="1335"/>
      <c r="O188" s="1060"/>
      <c r="P188" s="1005"/>
      <c r="Q188" s="1005"/>
      <c r="R188" s="1322"/>
      <c r="S188" s="1224"/>
      <c r="T188" s="875"/>
      <c r="U188" s="876"/>
      <c r="V188" s="876"/>
      <c r="W188" s="1337"/>
    </row>
    <row r="189" spans="4:23" ht="17.25" customHeight="1">
      <c r="D189" s="813"/>
      <c r="E189" s="866"/>
      <c r="F189" s="146"/>
      <c r="G189" s="867"/>
      <c r="H189" s="813"/>
      <c r="I189" s="813"/>
      <c r="J189" s="878"/>
      <c r="K189" s="867"/>
      <c r="L189" s="1022"/>
      <c r="M189" s="1022"/>
      <c r="N189" s="1336"/>
      <c r="O189" s="1009"/>
      <c r="P189" s="862"/>
      <c r="Q189" s="863"/>
      <c r="R189" s="863" t="s">
        <v>416</v>
      </c>
      <c r="S189" s="865"/>
      <c r="T189" s="865"/>
      <c r="U189" s="865"/>
      <c r="V189" s="865"/>
      <c r="W189" s="877"/>
    </row>
    <row r="190" spans="4:23" ht="17.25" customHeight="1"/>
    <row r="191" spans="4:23" ht="17.25" customHeight="1">
      <c r="D191" s="813"/>
      <c r="E191" s="866"/>
      <c r="F191" s="146"/>
      <c r="G191" s="867"/>
      <c r="H191" s="813"/>
      <c r="I191" s="813"/>
      <c r="J191" s="878"/>
      <c r="K191" s="867"/>
      <c r="L191" s="813"/>
      <c r="M191" s="813"/>
      <c r="N191" s="871"/>
      <c r="O191" s="170"/>
      <c r="P191" s="1005"/>
      <c r="Q191" s="1005" t="s">
        <v>110</v>
      </c>
      <c r="R191" s="1322" t="s">
        <v>22</v>
      </c>
      <c r="S191" s="1224" t="s">
        <v>19</v>
      </c>
      <c r="T191" s="416"/>
      <c r="U191" s="416" t="s">
        <v>110</v>
      </c>
      <c r="V191" s="874"/>
      <c r="W191" s="1337"/>
    </row>
    <row r="192" spans="4:23" ht="17.25" customHeight="1">
      <c r="D192" s="813"/>
      <c r="E192" s="866"/>
      <c r="F192" s="146"/>
      <c r="G192" s="867"/>
      <c r="H192" s="813"/>
      <c r="I192" s="813"/>
      <c r="J192" s="878"/>
      <c r="K192" s="867"/>
      <c r="L192" s="813"/>
      <c r="M192" s="813"/>
      <c r="N192" s="871"/>
      <c r="O192" s="170"/>
      <c r="P192" s="1005"/>
      <c r="Q192" s="1005"/>
      <c r="R192" s="1322"/>
      <c r="S192" s="1224"/>
      <c r="T192" s="875"/>
      <c r="U192" s="876"/>
      <c r="V192" s="876"/>
      <c r="W192" s="1337"/>
    </row>
    <row r="193" spans="1:35" ht="17.25" customHeight="1"/>
    <row r="194" spans="1:35" ht="16.5" customHeight="1">
      <c r="D194" s="1319"/>
      <c r="E194" s="1056"/>
      <c r="F194" s="1056"/>
      <c r="G194" s="995"/>
      <c r="H194" s="1016"/>
      <c r="I194" s="1018"/>
      <c r="J194" s="1019"/>
      <c r="K194" s="1013"/>
      <c r="L194" s="1013"/>
      <c r="M194" s="1013"/>
      <c r="N194" s="1020"/>
      <c r="O194" s="1013"/>
      <c r="P194" s="1013"/>
      <c r="Q194" s="1013"/>
      <c r="R194" s="1012"/>
      <c r="S194" s="1013"/>
      <c r="T194" s="142"/>
      <c r="U194" s="142"/>
      <c r="V194" s="143"/>
      <c r="W194" s="144"/>
    </row>
    <row r="195" spans="1:35" ht="16.5" customHeight="1">
      <c r="D195" s="1319"/>
      <c r="E195" s="1056"/>
      <c r="F195" s="1056"/>
      <c r="G195" s="995"/>
      <c r="H195" s="1017"/>
      <c r="I195" s="964"/>
      <c r="J195" s="964"/>
      <c r="K195" s="964"/>
      <c r="L195" s="964"/>
      <c r="M195" s="964"/>
      <c r="N195" s="964"/>
      <c r="O195" s="964"/>
      <c r="P195" s="964"/>
      <c r="Q195" s="964"/>
      <c r="R195" s="964"/>
      <c r="S195" s="964"/>
      <c r="W195" s="147"/>
    </row>
    <row r="196" spans="1:35" ht="17.25" customHeight="1">
      <c r="D196" s="1319"/>
      <c r="E196" s="1056"/>
      <c r="F196" s="1056"/>
      <c r="G196" s="995"/>
      <c r="H196" s="1017"/>
      <c r="I196" s="964"/>
      <c r="J196" s="964"/>
      <c r="K196" s="964"/>
      <c r="L196" s="964"/>
      <c r="M196" s="964"/>
      <c r="N196" s="964"/>
      <c r="O196" s="964"/>
      <c r="W196" s="147"/>
    </row>
    <row r="197" spans="1:35" ht="17.25" customHeight="1">
      <c r="D197" s="1319"/>
      <c r="E197" s="1056"/>
      <c r="F197" s="1056"/>
      <c r="G197" s="995"/>
      <c r="H197" s="1017"/>
      <c r="I197" s="964"/>
      <c r="J197" s="964"/>
      <c r="K197" s="964"/>
      <c r="W197" s="147"/>
    </row>
    <row r="198" spans="1:35" ht="17.25" customHeight="1">
      <c r="D198" s="1319"/>
      <c r="E198" s="1056"/>
      <c r="F198" s="1056"/>
      <c r="G198" s="995"/>
      <c r="H198" s="149"/>
      <c r="I198" s="150"/>
      <c r="J198" s="150"/>
      <c r="K198" s="150"/>
      <c r="L198" s="150"/>
      <c r="M198" s="150"/>
      <c r="N198" s="150"/>
      <c r="O198" s="150"/>
      <c r="P198" s="150"/>
      <c r="Q198" s="150"/>
      <c r="R198" s="150"/>
      <c r="S198" s="151"/>
      <c r="T198" s="151"/>
      <c r="U198" s="151"/>
      <c r="V198" s="151"/>
      <c r="W198" s="152"/>
    </row>
    <row r="200" spans="1:35" ht="17.25" customHeight="1">
      <c r="A200" s="764" t="s">
        <v>1941</v>
      </c>
    </row>
    <row r="201" spans="1:35" ht="17.25" customHeight="1"/>
    <row r="202" spans="1:35" ht="15" customHeight="1">
      <c r="D202" s="1361"/>
      <c r="E202" s="1051"/>
      <c r="F202" s="1051"/>
      <c r="G202" s="1059"/>
      <c r="H202" s="879"/>
      <c r="I202" s="1362">
        <v>1</v>
      </c>
      <c r="J202" s="1337"/>
      <c r="K202" s="760"/>
      <c r="L202" s="1059" t="s">
        <v>66</v>
      </c>
      <c r="M202" s="1059" t="s">
        <v>66</v>
      </c>
      <c r="N202" s="879"/>
      <c r="O202" s="1005" t="s">
        <v>110</v>
      </c>
      <c r="P202" s="1368"/>
      <c r="Q202" s="760"/>
      <c r="R202" s="1059" t="s">
        <v>66</v>
      </c>
      <c r="S202" s="1059" t="s">
        <v>66</v>
      </c>
      <c r="T202" s="880"/>
      <c r="U202" s="1005" t="s">
        <v>110</v>
      </c>
      <c r="V202" s="1358" t="str">
        <f>IF(AK202="","",INDEX(TERRITORY_MR_LIST,MATCH(AK202,TERRITORY_LIST_ID,0)))</f>
        <v/>
      </c>
      <c r="W202" s="123"/>
      <c r="X202" s="1059" t="s">
        <v>66</v>
      </c>
      <c r="Y202" s="1059" t="s">
        <v>19</v>
      </c>
      <c r="Z202" s="879"/>
      <c r="AA202" s="1005" t="s">
        <v>110</v>
      </c>
      <c r="AB202" s="1360"/>
      <c r="AC202" s="174"/>
      <c r="AD202" s="1059" t="s">
        <v>66</v>
      </c>
      <c r="AE202" s="1059" t="s">
        <v>19</v>
      </c>
      <c r="AF202" s="123"/>
      <c r="AG202" s="121" t="s">
        <v>110</v>
      </c>
      <c r="AH202" s="814"/>
      <c r="AI202" s="225"/>
    </row>
    <row r="203" spans="1:35" ht="15" customHeight="1">
      <c r="D203" s="1361"/>
      <c r="E203" s="1051"/>
      <c r="F203" s="1051"/>
      <c r="G203" s="1060"/>
      <c r="H203" s="879"/>
      <c r="I203" s="1362"/>
      <c r="J203" s="1337"/>
      <c r="K203" s="881"/>
      <c r="L203" s="1060"/>
      <c r="M203" s="1060"/>
      <c r="N203" s="879"/>
      <c r="O203" s="1005"/>
      <c r="P203" s="1368"/>
      <c r="Q203" s="882"/>
      <c r="R203" s="1060"/>
      <c r="S203" s="1060"/>
      <c r="T203" s="880"/>
      <c r="U203" s="1005"/>
      <c r="V203" s="1359"/>
      <c r="W203" s="846"/>
      <c r="X203" s="1060"/>
      <c r="Y203" s="1060"/>
      <c r="Z203" s="879"/>
      <c r="AA203" s="1005"/>
      <c r="AB203" s="1290"/>
      <c r="AC203" s="502"/>
      <c r="AD203" s="1009"/>
      <c r="AE203" s="1009"/>
      <c r="AF203" s="883"/>
      <c r="AG203" s="862"/>
      <c r="AH203" s="1364" t="s">
        <v>1942</v>
      </c>
      <c r="AI203" s="1365"/>
    </row>
    <row r="204" spans="1:35" ht="15" customHeight="1">
      <c r="D204" s="1361"/>
      <c r="E204" s="1051"/>
      <c r="F204" s="1051"/>
      <c r="G204" s="1060"/>
      <c r="H204" s="879"/>
      <c r="I204" s="1362"/>
      <c r="J204" s="1337"/>
      <c r="K204" s="881"/>
      <c r="L204" s="1060"/>
      <c r="M204" s="1060"/>
      <c r="N204" s="879"/>
      <c r="O204" s="1005"/>
      <c r="P204" s="1368"/>
      <c r="Q204" s="882"/>
      <c r="R204" s="1060"/>
      <c r="S204" s="1060"/>
      <c r="T204" s="880"/>
      <c r="U204" s="1005"/>
      <c r="V204" s="1359"/>
      <c r="W204" s="846"/>
      <c r="X204" s="1060"/>
      <c r="Y204" s="1060"/>
      <c r="Z204" s="846"/>
      <c r="AA204" s="884"/>
      <c r="AB204" s="1366" t="s">
        <v>1943</v>
      </c>
      <c r="AC204" s="1366"/>
      <c r="AD204" s="1366"/>
      <c r="AE204" s="1366"/>
      <c r="AF204" s="1366"/>
      <c r="AG204" s="1366"/>
      <c r="AH204" s="1366"/>
      <c r="AI204" s="1367"/>
    </row>
    <row r="205" spans="1:35" ht="15" customHeight="1">
      <c r="D205" s="1361"/>
      <c r="E205" s="1051"/>
      <c r="F205" s="1051"/>
      <c r="G205" s="1060"/>
      <c r="H205" s="879"/>
      <c r="I205" s="1362"/>
      <c r="J205" s="1337"/>
      <c r="K205" s="881"/>
      <c r="L205" s="1060"/>
      <c r="M205" s="1060"/>
      <c r="N205" s="879"/>
      <c r="O205" s="1005"/>
      <c r="P205" s="1369"/>
      <c r="Q205" s="882"/>
      <c r="R205" s="1060"/>
      <c r="S205" s="1060"/>
      <c r="T205" s="885"/>
      <c r="U205" s="886"/>
      <c r="V205" s="1364" t="s">
        <v>104</v>
      </c>
      <c r="W205" s="1364"/>
      <c r="X205" s="1364"/>
      <c r="Y205" s="1364"/>
      <c r="Z205" s="1364"/>
      <c r="AA205" s="1364"/>
      <c r="AB205" s="1364"/>
      <c r="AC205" s="1364"/>
      <c r="AD205" s="1364"/>
      <c r="AE205" s="1364"/>
      <c r="AF205" s="1364"/>
      <c r="AG205" s="1364"/>
      <c r="AH205" s="1364"/>
      <c r="AI205" s="1365"/>
    </row>
    <row r="206" spans="1:35" ht="11.25" customHeight="1">
      <c r="D206" s="1361"/>
      <c r="E206" s="1051"/>
      <c r="F206" s="1051"/>
      <c r="G206" s="1060"/>
      <c r="H206" s="870"/>
      <c r="I206" s="1362"/>
      <c r="J206" s="1363"/>
      <c r="K206" s="881"/>
      <c r="L206" s="1060"/>
      <c r="M206" s="1060"/>
      <c r="N206" s="870"/>
      <c r="O206" s="884"/>
      <c r="P206" s="1364" t="s">
        <v>1944</v>
      </c>
      <c r="Q206" s="1364"/>
      <c r="R206" s="1364"/>
      <c r="S206" s="1364"/>
      <c r="T206" s="1364"/>
      <c r="U206" s="1364"/>
      <c r="V206" s="1364"/>
      <c r="W206" s="1364"/>
      <c r="X206" s="1364"/>
      <c r="Y206" s="1364"/>
      <c r="Z206" s="1364"/>
      <c r="AA206" s="1364"/>
      <c r="AB206" s="1364"/>
      <c r="AC206" s="1364"/>
      <c r="AD206" s="1364"/>
      <c r="AE206" s="1364"/>
      <c r="AF206" s="1364"/>
      <c r="AG206" s="1364"/>
      <c r="AH206" s="1364"/>
      <c r="AI206" s="1365"/>
    </row>
    <row r="207" spans="1:35" ht="11.25" customHeight="1">
      <c r="D207" s="1361"/>
      <c r="E207" s="1051"/>
      <c r="F207" s="1051"/>
      <c r="G207" s="1009"/>
      <c r="H207" s="887"/>
      <c r="I207" s="888"/>
      <c r="J207" s="1364" t="s">
        <v>449</v>
      </c>
      <c r="K207" s="1364"/>
      <c r="L207" s="1364"/>
      <c r="M207" s="1364"/>
      <c r="N207" s="1364"/>
      <c r="O207" s="1364"/>
      <c r="P207" s="1364"/>
      <c r="Q207" s="1364"/>
      <c r="R207" s="1364"/>
      <c r="S207" s="1364"/>
      <c r="T207" s="1364"/>
      <c r="U207" s="1364"/>
      <c r="V207" s="1364"/>
      <c r="W207" s="1364"/>
      <c r="X207" s="1364"/>
      <c r="Y207" s="1364"/>
      <c r="Z207" s="1364"/>
      <c r="AA207" s="1364"/>
      <c r="AB207" s="1364"/>
      <c r="AC207" s="1364"/>
      <c r="AD207" s="1364"/>
      <c r="AE207" s="1364"/>
      <c r="AF207" s="1364"/>
      <c r="AG207" s="1364"/>
      <c r="AH207" s="1364"/>
      <c r="AI207" s="1365"/>
    </row>
    <row r="208" spans="1:35" ht="17.25" customHeight="1"/>
    <row r="209" spans="4:35" ht="15" customHeight="1">
      <c r="D209" s="1361"/>
      <c r="E209" s="1051"/>
      <c r="F209" s="1051"/>
      <c r="G209" s="1056"/>
      <c r="H209" s="166"/>
      <c r="I209" s="1061"/>
      <c r="J209" s="1019"/>
      <c r="K209" s="141"/>
      <c r="L209" s="1013"/>
      <c r="M209" s="1013"/>
      <c r="N209" s="167"/>
      <c r="O209" s="1013"/>
      <c r="P209" s="1019"/>
      <c r="Q209" s="141"/>
      <c r="R209" s="1013"/>
      <c r="S209" s="1013"/>
      <c r="T209" s="168"/>
      <c r="U209" s="1013"/>
      <c r="V209" s="1019"/>
      <c r="W209" s="142"/>
      <c r="X209" s="1013"/>
      <c r="Y209" s="1013"/>
      <c r="Z209" s="167"/>
      <c r="AA209" s="1013"/>
      <c r="AB209" s="1019"/>
      <c r="AC209" s="169"/>
      <c r="AD209" s="1013"/>
      <c r="AE209" s="1013"/>
      <c r="AF209" s="142"/>
      <c r="AG209" s="142"/>
      <c r="AH209" s="167"/>
      <c r="AI209" s="144"/>
    </row>
    <row r="210" spans="4:35" ht="15" customHeight="1">
      <c r="D210" s="1361"/>
      <c r="E210" s="1051"/>
      <c r="F210" s="1051"/>
      <c r="G210" s="1056"/>
      <c r="H210" s="171"/>
      <c r="I210" s="964"/>
      <c r="J210" s="964"/>
      <c r="L210" s="964"/>
      <c r="M210" s="964"/>
      <c r="O210" s="964"/>
      <c r="P210" s="964"/>
      <c r="R210" s="964"/>
      <c r="S210" s="964"/>
      <c r="U210" s="964"/>
      <c r="V210" s="964"/>
      <c r="X210" s="964"/>
      <c r="Y210" s="964"/>
      <c r="AA210" s="964"/>
      <c r="AB210" s="964"/>
      <c r="AD210" s="964"/>
      <c r="AE210" s="964"/>
      <c r="AH210" s="964"/>
      <c r="AI210" s="1064"/>
    </row>
    <row r="211" spans="4:35" ht="15" customHeight="1">
      <c r="D211" s="1361"/>
      <c r="E211" s="1051"/>
      <c r="F211" s="1051"/>
      <c r="G211" s="1056"/>
      <c r="H211" s="171"/>
      <c r="I211" s="964"/>
      <c r="J211" s="964"/>
      <c r="L211" s="964"/>
      <c r="M211" s="964"/>
      <c r="O211" s="964"/>
      <c r="P211" s="964"/>
      <c r="R211" s="964"/>
      <c r="S211" s="964"/>
      <c r="U211" s="964"/>
      <c r="V211" s="964"/>
      <c r="X211" s="964"/>
      <c r="Y211" s="964"/>
      <c r="AB211" s="964"/>
      <c r="AC211" s="964"/>
      <c r="AD211" s="964"/>
      <c r="AE211" s="964"/>
      <c r="AF211" s="964"/>
      <c r="AG211" s="964"/>
      <c r="AH211" s="964"/>
      <c r="AI211" s="1064"/>
    </row>
    <row r="212" spans="4:35" ht="15" customHeight="1">
      <c r="D212" s="1361"/>
      <c r="E212" s="1051"/>
      <c r="F212" s="1051"/>
      <c r="G212" s="1056"/>
      <c r="H212" s="171"/>
      <c r="I212" s="964"/>
      <c r="J212" s="964"/>
      <c r="L212" s="964"/>
      <c r="M212" s="964"/>
      <c r="O212" s="964"/>
      <c r="P212" s="964"/>
      <c r="R212" s="964"/>
      <c r="S212" s="964"/>
      <c r="V212" s="964"/>
      <c r="W212" s="964"/>
      <c r="X212" s="964"/>
      <c r="Y212" s="964"/>
      <c r="Z212" s="964"/>
      <c r="AA212" s="964"/>
      <c r="AB212" s="964"/>
      <c r="AC212" s="964"/>
      <c r="AD212" s="964"/>
      <c r="AE212" s="964"/>
      <c r="AF212" s="964"/>
      <c r="AG212" s="964"/>
      <c r="AH212" s="964"/>
      <c r="AI212" s="1064"/>
    </row>
    <row r="213" spans="4:35" ht="11.25" customHeight="1">
      <c r="D213" s="1361"/>
      <c r="E213" s="1051"/>
      <c r="F213" s="1051"/>
      <c r="G213" s="1056"/>
      <c r="H213" s="172"/>
      <c r="I213" s="964"/>
      <c r="J213" s="964"/>
      <c r="L213" s="964"/>
      <c r="M213" s="964"/>
      <c r="P213" s="964"/>
      <c r="Q213" s="964"/>
      <c r="R213" s="964"/>
      <c r="S213" s="964"/>
      <c r="T213" s="964"/>
      <c r="U213" s="964"/>
      <c r="V213" s="964"/>
      <c r="W213" s="964"/>
      <c r="X213" s="964"/>
      <c r="Y213" s="964"/>
      <c r="Z213" s="964"/>
      <c r="AA213" s="964"/>
      <c r="AB213" s="964"/>
      <c r="AC213" s="964"/>
      <c r="AD213" s="964"/>
      <c r="AE213" s="964"/>
      <c r="AF213" s="964"/>
      <c r="AG213" s="964"/>
      <c r="AH213" s="964"/>
      <c r="AI213" s="1064"/>
    </row>
    <row r="214" spans="4:35" ht="11.25" customHeight="1">
      <c r="D214" s="1361"/>
      <c r="E214" s="1051"/>
      <c r="F214" s="1051"/>
      <c r="G214" s="1065"/>
      <c r="H214" s="175"/>
      <c r="I214" s="176"/>
      <c r="J214" s="1062"/>
      <c r="K214" s="1062"/>
      <c r="L214" s="1062"/>
      <c r="M214" s="1062"/>
      <c r="N214" s="1062"/>
      <c r="O214" s="1062"/>
      <c r="P214" s="1062"/>
      <c r="Q214" s="1062"/>
      <c r="R214" s="1062"/>
      <c r="S214" s="1062"/>
      <c r="T214" s="1062"/>
      <c r="U214" s="1062"/>
      <c r="V214" s="1062"/>
      <c r="W214" s="1062"/>
      <c r="X214" s="1062"/>
      <c r="Y214" s="1062"/>
      <c r="Z214" s="1062"/>
      <c r="AA214" s="1062"/>
      <c r="AB214" s="1062"/>
      <c r="AC214" s="1062"/>
      <c r="AD214" s="1062"/>
      <c r="AE214" s="1062"/>
      <c r="AF214" s="1062"/>
      <c r="AG214" s="1062"/>
      <c r="AH214" s="1062"/>
      <c r="AI214" s="1063"/>
    </row>
    <row r="215" spans="4:35"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8B2B-7015-F227-90C7-20F4E2D3D936}">
  <sheetPr>
    <tabColor rgb="FFFFCC99"/>
  </sheetPr>
  <dimension ref="A1:H34"/>
  <sheetViews>
    <sheetView showGridLines="0" workbookViewId="0"/>
  </sheetViews>
  <sheetFormatPr defaultColWidth="43.140625" defaultRowHeight="9" customHeight="1"/>
  <cols>
    <col min="2" max="2" width="43.140625" hidden="1"/>
    <col min="4" max="8" width="36.42578125" customWidth="1"/>
  </cols>
  <sheetData>
    <row r="1" spans="1:8" ht="9" customHeight="1">
      <c r="A1" s="889" t="s">
        <v>1945</v>
      </c>
      <c r="B1" s="889"/>
      <c r="C1" s="890" t="s">
        <v>1946</v>
      </c>
      <c r="D1" s="891" t="s">
        <v>809</v>
      </c>
      <c r="E1" s="891" t="s">
        <v>855</v>
      </c>
      <c r="F1" s="891" t="s">
        <v>908</v>
      </c>
      <c r="G1" s="891" t="s">
        <v>895</v>
      </c>
      <c r="H1" s="891" t="s">
        <v>1620</v>
      </c>
    </row>
    <row r="2" spans="1:8" ht="9" customHeight="1">
      <c r="A2" s="892" t="s">
        <v>1947</v>
      </c>
      <c r="B2" s="892"/>
      <c r="C2" s="893" t="str">
        <f>INDEX(TEMPLATE_NUMBER_FORM_LIST,MATCH(TEMPLATE_SPHERE,TEMPLATE_SPHERE_LIST,0))</f>
        <v>16</v>
      </c>
      <c r="D2" s="892" t="s">
        <v>1469</v>
      </c>
      <c r="E2" s="892" t="s">
        <v>152</v>
      </c>
      <c r="F2" s="894" t="s">
        <v>152</v>
      </c>
      <c r="G2" s="892" t="s">
        <v>152</v>
      </c>
      <c r="H2" s="895"/>
    </row>
    <row r="3" spans="1:8" ht="63" customHeight="1">
      <c r="A3" s="889"/>
      <c r="B3" s="889" t="s">
        <v>110</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1948</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889"/>
    </row>
    <row r="4" spans="1:8" ht="243" customHeight="1">
      <c r="A4" s="889" t="s">
        <v>1949</v>
      </c>
      <c r="B4" s="889" t="s">
        <v>111</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1950</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889" t="s">
        <v>1951</v>
      </c>
    </row>
    <row r="5" spans="1:8" ht="117" customHeight="1">
      <c r="A5" s="889" t="s">
        <v>1952</v>
      </c>
      <c r="B5" s="889"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9" t="s">
        <v>1953</v>
      </c>
      <c r="E5" s="89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889" t="s">
        <v>1954</v>
      </c>
    </row>
    <row r="6" spans="1:8" ht="90" customHeight="1">
      <c r="A6" s="889" t="s">
        <v>1955</v>
      </c>
      <c r="B6" s="889"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9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9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9"/>
      <c r="G6" s="889"/>
      <c r="H6" s="895"/>
    </row>
    <row r="7" spans="1:8" ht="45" customHeight="1">
      <c r="A7" s="889" t="s">
        <v>1956</v>
      </c>
      <c r="B7" s="889" t="s">
        <v>112</v>
      </c>
      <c r="C7" s="893" t="str">
        <f>IF(TEMPLATE_SPHERE="HEAT",D7,E7)</f>
        <v>Форма 11. Информация о расходах на капитальный и текущий ремонт основных средств</v>
      </c>
      <c r="D7" s="889" t="s">
        <v>1957</v>
      </c>
      <c r="E7" s="889" t="s">
        <v>1958</v>
      </c>
      <c r="F7" s="895"/>
      <c r="G7" s="895"/>
      <c r="H7" s="895"/>
    </row>
    <row r="8" spans="1:8" ht="108" customHeight="1">
      <c r="A8" s="889" t="s">
        <v>1959</v>
      </c>
      <c r="B8" s="889"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9" t="s">
        <v>1158</v>
      </c>
      <c r="E8" s="889" t="s">
        <v>1960</v>
      </c>
      <c r="F8" s="895"/>
      <c r="G8" s="895"/>
      <c r="H8" s="895"/>
    </row>
    <row r="9" spans="1:8" ht="99" customHeight="1">
      <c r="A9" s="889" t="s">
        <v>1961</v>
      </c>
      <c r="B9" s="889"/>
      <c r="C9" s="889" t="s">
        <v>1962</v>
      </c>
      <c r="D9" s="889"/>
      <c r="E9" s="889"/>
      <c r="F9" s="895"/>
      <c r="G9" s="895"/>
      <c r="H9" s="895"/>
    </row>
    <row r="10" spans="1:8" ht="126" customHeight="1">
      <c r="A10" s="889" t="s">
        <v>1963</v>
      </c>
      <c r="B10" s="889"/>
      <c r="C10" s="889" t="s">
        <v>1964</v>
      </c>
      <c r="D10" s="889"/>
      <c r="E10" s="889"/>
      <c r="F10" s="895"/>
      <c r="G10" s="895"/>
      <c r="H10" s="895"/>
    </row>
    <row r="11" spans="1:8" ht="108" customHeight="1">
      <c r="A11" s="889" t="s">
        <v>1965</v>
      </c>
      <c r="B11" s="889"/>
      <c r="C11" s="889" t="s">
        <v>1966</v>
      </c>
      <c r="D11" s="889"/>
      <c r="E11" s="889"/>
      <c r="F11" s="895"/>
      <c r="G11" s="895"/>
      <c r="H11" s="895"/>
    </row>
    <row r="12" spans="1:8" ht="54" customHeight="1">
      <c r="A12" s="889" t="s">
        <v>1967</v>
      </c>
      <c r="B12" s="889"/>
      <c r="C12" s="889" t="s">
        <v>1968</v>
      </c>
      <c r="D12" s="889"/>
      <c r="E12" s="889"/>
      <c r="F12" s="895"/>
      <c r="G12" s="895"/>
      <c r="H12" s="895"/>
    </row>
    <row r="13" spans="1:8" ht="45" customHeight="1">
      <c r="A13" s="889" t="s">
        <v>1969</v>
      </c>
      <c r="B13" s="889"/>
      <c r="C13" s="889" t="s">
        <v>1970</v>
      </c>
      <c r="D13" s="889"/>
      <c r="E13" s="889"/>
      <c r="F13" s="895"/>
      <c r="G13" s="895"/>
      <c r="H13" s="895"/>
    </row>
    <row r="14" spans="1:8" ht="117" customHeight="1">
      <c r="A14" s="889" t="s">
        <v>1971</v>
      </c>
      <c r="B14" s="889"/>
      <c r="C14" s="889" t="s">
        <v>1972</v>
      </c>
      <c r="D14" s="889"/>
      <c r="E14" s="889"/>
      <c r="F14" s="895"/>
      <c r="G14" s="895"/>
      <c r="H14" s="895"/>
    </row>
    <row r="15" spans="1:8" ht="117" customHeight="1">
      <c r="A15" s="889" t="s">
        <v>1973</v>
      </c>
      <c r="B15" s="889"/>
      <c r="C15" s="889" t="s">
        <v>1974</v>
      </c>
      <c r="D15" s="889"/>
      <c r="E15" s="889"/>
      <c r="F15" s="895"/>
      <c r="G15" s="895"/>
      <c r="H15" s="895"/>
    </row>
    <row r="16" spans="1:8" ht="63" customHeight="1">
      <c r="A16" s="889" t="s">
        <v>1975</v>
      </c>
      <c r="B16" s="889"/>
      <c r="C16" s="889" t="s">
        <v>1976</v>
      </c>
      <c r="D16" s="889"/>
      <c r="E16" s="889"/>
      <c r="F16" s="895"/>
      <c r="G16" s="895"/>
      <c r="H16" s="895"/>
    </row>
    <row r="17" spans="1:8" ht="54" customHeight="1">
      <c r="A17" s="889" t="s">
        <v>1977</v>
      </c>
      <c r="B17" s="889"/>
      <c r="C17" s="893" t="s">
        <v>1978</v>
      </c>
      <c r="D17" s="889"/>
      <c r="E17" s="889"/>
      <c r="F17" s="895"/>
      <c r="G17" s="895"/>
      <c r="H17" s="895"/>
    </row>
    <row r="18" spans="1:8" ht="27" customHeight="1">
      <c r="A18" s="889" t="s">
        <v>1979</v>
      </c>
      <c r="B18" s="889"/>
      <c r="C18" s="893" t="s">
        <v>1980</v>
      </c>
      <c r="D18" s="889"/>
      <c r="E18" s="889"/>
      <c r="F18" s="895"/>
      <c r="G18" s="895"/>
      <c r="H18" s="895"/>
    </row>
    <row r="19" spans="1:8" ht="54" customHeight="1">
      <c r="A19" s="889" t="s">
        <v>1981</v>
      </c>
      <c r="B19" s="889"/>
      <c r="C19" s="893" t="s">
        <v>1982</v>
      </c>
      <c r="D19" s="889"/>
      <c r="E19" s="889"/>
      <c r="F19" s="895"/>
      <c r="G19" s="895"/>
      <c r="H19" s="895"/>
    </row>
    <row r="20" spans="1:8" ht="36" customHeight="1">
      <c r="A20" s="889" t="s">
        <v>1983</v>
      </c>
      <c r="B20" s="889"/>
      <c r="C20" s="893" t="s">
        <v>1984</v>
      </c>
      <c r="D20" s="889"/>
      <c r="E20" s="889"/>
      <c r="F20" s="895"/>
      <c r="G20" s="895"/>
      <c r="H20" s="895"/>
    </row>
    <row r="21" spans="1:8" ht="36" customHeight="1">
      <c r="A21" s="889" t="s">
        <v>1985</v>
      </c>
      <c r="B21" s="889"/>
      <c r="C21" s="893" t="s">
        <v>1986</v>
      </c>
      <c r="D21" s="889"/>
      <c r="E21" s="889"/>
      <c r="F21" s="895"/>
      <c r="G21" s="895"/>
      <c r="H21" s="895"/>
    </row>
    <row r="22" spans="1:8" ht="27" customHeight="1">
      <c r="A22" s="889" t="s">
        <v>1987</v>
      </c>
      <c r="B22" s="889"/>
      <c r="C22" s="893" t="s">
        <v>1988</v>
      </c>
      <c r="D22" s="889"/>
      <c r="E22" s="889"/>
      <c r="F22" s="895"/>
      <c r="G22" s="895"/>
      <c r="H22" s="895"/>
    </row>
    <row r="23" spans="1:8" ht="36" customHeight="1">
      <c r="A23" s="889" t="s">
        <v>1989</v>
      </c>
      <c r="B23" s="889"/>
      <c r="C23" s="893" t="s">
        <v>1990</v>
      </c>
      <c r="D23" s="889"/>
      <c r="E23" s="889"/>
      <c r="F23" s="895"/>
      <c r="G23" s="895"/>
      <c r="H23" s="895"/>
    </row>
    <row r="24" spans="1:8" ht="28.5" customHeight="1">
      <c r="A24" s="889" t="s">
        <v>1991</v>
      </c>
      <c r="B24" s="889"/>
      <c r="C24" s="893" t="s">
        <v>1992</v>
      </c>
      <c r="D24" s="889"/>
      <c r="E24" s="889"/>
      <c r="F24" s="895"/>
      <c r="G24" s="895"/>
      <c r="H24" s="895"/>
    </row>
    <row r="25" spans="1:8" ht="36" customHeight="1">
      <c r="A25" s="889" t="s">
        <v>1993</v>
      </c>
      <c r="B25" s="889"/>
      <c r="C25" s="893" t="s">
        <v>1994</v>
      </c>
      <c r="D25" s="889"/>
      <c r="E25" s="889"/>
      <c r="F25" s="895"/>
      <c r="G25" s="895"/>
      <c r="H25" s="895"/>
    </row>
    <row r="26" spans="1:8" ht="27" customHeight="1">
      <c r="A26" s="889" t="s">
        <v>1995</v>
      </c>
      <c r="B26" s="889"/>
      <c r="C26" s="893" t="s">
        <v>1996</v>
      </c>
      <c r="D26" s="889"/>
      <c r="E26" s="889"/>
      <c r="F26" s="895"/>
      <c r="G26" s="895"/>
      <c r="H26" s="895"/>
    </row>
    <row r="27" spans="1:8" ht="36" customHeight="1">
      <c r="A27" s="889" t="s">
        <v>1997</v>
      </c>
      <c r="B27" s="889"/>
      <c r="C27" s="893" t="s">
        <v>1998</v>
      </c>
      <c r="D27" s="889"/>
      <c r="E27" s="889"/>
      <c r="F27" s="895"/>
      <c r="G27" s="895"/>
      <c r="H27" s="895"/>
    </row>
    <row r="28" spans="1:8" ht="28.5" customHeight="1">
      <c r="A28" s="889" t="s">
        <v>1999</v>
      </c>
      <c r="B28" s="889"/>
      <c r="C28" s="893" t="s">
        <v>2000</v>
      </c>
      <c r="D28" s="889"/>
      <c r="E28" s="889"/>
      <c r="F28" s="895"/>
      <c r="G28" s="895"/>
      <c r="H28" s="895"/>
    </row>
    <row r="29" spans="1:8" ht="126" customHeight="1">
      <c r="A29" s="889" t="s">
        <v>2001</v>
      </c>
      <c r="B29" s="889" t="s">
        <v>1571</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9" t="s">
        <v>2002</v>
      </c>
      <c r="E29" s="89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889" t="s">
        <v>2003</v>
      </c>
    </row>
    <row r="30" spans="1:8" ht="36" customHeight="1">
      <c r="A30" s="889" t="s">
        <v>2004</v>
      </c>
      <c r="B30" s="889"/>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9" t="s">
        <v>2005</v>
      </c>
      <c r="E30" s="89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889" t="s">
        <v>2006</v>
      </c>
      <c r="B31" s="889"/>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9" t="s">
        <v>2007</v>
      </c>
      <c r="E31" s="8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889" t="s">
        <v>2008</v>
      </c>
      <c r="B32" s="889"/>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9" t="s">
        <v>2009</v>
      </c>
      <c r="E32" s="89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889" t="s">
        <v>2010</v>
      </c>
    </row>
    <row r="33" spans="1:8" ht="9" customHeight="1">
      <c r="A33" s="889"/>
      <c r="B33" s="889"/>
      <c r="C33" s="893"/>
      <c r="D33" s="889"/>
      <c r="E33" s="889"/>
      <c r="F33" s="895"/>
      <c r="G33" s="895"/>
      <c r="H33" s="895"/>
    </row>
    <row r="34" spans="1:8" ht="9" customHeight="1">
      <c r="A34" s="889"/>
      <c r="B34" s="889" t="s">
        <v>1507</v>
      </c>
      <c r="C34" s="893">
        <f>INDEX(TEMPLATE_NAME_FORM_LIST,B34,MATCH(TEMPLATE_SPHERE,TEMPLATE_SPHERE_LIST,0))</f>
        <v>0</v>
      </c>
      <c r="D34" s="889"/>
      <c r="E34" s="889"/>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6C2D-0DE2-BA48-47D1-BA2014CF1647}">
  <sheetPr>
    <tabColor rgb="FFFFCC99"/>
  </sheetPr>
  <dimension ref="A1:AH154"/>
  <sheetViews>
    <sheetView showGridLines="0" workbookViewId="0"/>
  </sheetViews>
  <sheetFormatPr defaultColWidth="9.140625" defaultRowHeight="9" customHeight="1"/>
  <cols>
    <col min="3" max="7" width="8" customWidth="1"/>
    <col min="8" max="12" width="8.5703125" customWidth="1"/>
    <col min="13" max="14" width="27.7109375" customWidth="1"/>
    <col min="15" max="19" width="5.140625" customWidth="1"/>
    <col min="20" max="24" width="27.7109375" customWidth="1"/>
    <col min="25" max="25" width="1.85546875" customWidth="1"/>
    <col min="26" max="29" width="27.7109375" customWidth="1"/>
    <col min="30" max="30" width="3.85546875" customWidth="1"/>
  </cols>
  <sheetData>
    <row r="1" spans="1:34" ht="18" customHeight="1">
      <c r="A1" s="897"/>
      <c r="B1" s="897"/>
      <c r="C1" s="897" t="s">
        <v>2011</v>
      </c>
      <c r="D1" s="897"/>
      <c r="E1" s="897"/>
      <c r="F1" s="897"/>
      <c r="G1" s="897"/>
      <c r="H1" s="897" t="s">
        <v>2012</v>
      </c>
      <c r="I1" s="897"/>
      <c r="J1" s="897"/>
      <c r="K1" s="897"/>
      <c r="L1" s="897"/>
      <c r="M1" s="897" t="s">
        <v>2013</v>
      </c>
      <c r="N1" s="897" t="s">
        <v>2014</v>
      </c>
      <c r="O1" s="1374" t="s">
        <v>2015</v>
      </c>
      <c r="P1" s="1374"/>
      <c r="Q1" s="1374"/>
      <c r="R1" s="1374"/>
      <c r="S1" s="1374"/>
      <c r="T1" s="1374" t="s">
        <v>2013</v>
      </c>
      <c r="U1" s="1374"/>
      <c r="V1" s="1374"/>
      <c r="W1" s="1374"/>
      <c r="X1" s="1374"/>
      <c r="Y1" s="898"/>
      <c r="Z1" s="1374" t="s">
        <v>2016</v>
      </c>
      <c r="AA1" s="1374"/>
      <c r="AB1" s="1374"/>
      <c r="AC1" s="1374"/>
      <c r="AD1" s="1374"/>
    </row>
    <row r="2" spans="1:34" ht="18" customHeight="1">
      <c r="A2" s="889"/>
      <c r="B2" s="889"/>
      <c r="C2" s="899" t="s">
        <v>809</v>
      </c>
      <c r="D2" s="899" t="s">
        <v>855</v>
      </c>
      <c r="E2" s="899" t="s">
        <v>908</v>
      </c>
      <c r="F2" s="899" t="s">
        <v>895</v>
      </c>
      <c r="G2" s="899" t="s">
        <v>1620</v>
      </c>
      <c r="H2" s="900"/>
      <c r="I2" s="900"/>
      <c r="J2" s="900"/>
      <c r="K2" s="900"/>
      <c r="L2" s="900"/>
      <c r="M2" s="900"/>
      <c r="N2" s="900"/>
      <c r="O2" s="899" t="s">
        <v>809</v>
      </c>
      <c r="P2" s="899" t="s">
        <v>855</v>
      </c>
      <c r="Q2" s="899" t="s">
        <v>895</v>
      </c>
      <c r="R2" s="899" t="s">
        <v>908</v>
      </c>
      <c r="S2" s="899" t="s">
        <v>1620</v>
      </c>
      <c r="T2" s="899" t="s">
        <v>809</v>
      </c>
      <c r="U2" s="899" t="s">
        <v>855</v>
      </c>
      <c r="V2" s="899" t="s">
        <v>895</v>
      </c>
      <c r="W2" s="899" t="s">
        <v>908</v>
      </c>
      <c r="X2" s="899" t="s">
        <v>1620</v>
      </c>
      <c r="Y2" s="899"/>
      <c r="Z2" s="899" t="s">
        <v>809</v>
      </c>
      <c r="AA2" s="901" t="s">
        <v>855</v>
      </c>
      <c r="AB2" s="899" t="s">
        <v>895</v>
      </c>
      <c r="AC2" s="899" t="s">
        <v>908</v>
      </c>
      <c r="AD2" s="899" t="s">
        <v>1620</v>
      </c>
    </row>
    <row r="3" spans="1:34" ht="162" customHeight="1">
      <c r="A3" s="902" t="s">
        <v>27</v>
      </c>
      <c r="B3" s="902"/>
      <c r="C3" s="1378" t="s">
        <v>2017</v>
      </c>
      <c r="D3" s="1379"/>
      <c r="E3" s="1379"/>
      <c r="F3" s="1380"/>
      <c r="G3" s="900"/>
      <c r="H3" s="900"/>
      <c r="I3" s="900"/>
      <c r="J3" s="900"/>
      <c r="K3" s="900"/>
      <c r="L3" s="900"/>
      <c r="M3" s="900"/>
      <c r="N3" s="90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0"/>
      <c r="P3" s="900"/>
      <c r="Q3" s="900"/>
      <c r="R3" s="900"/>
      <c r="S3" s="900"/>
      <c r="T3" s="900"/>
      <c r="U3" s="900"/>
      <c r="V3" s="900"/>
      <c r="W3" s="900"/>
      <c r="X3" s="900"/>
      <c r="Y3" s="904"/>
      <c r="Z3" s="889" t="s">
        <v>2018</v>
      </c>
      <c r="AA3" s="900" t="s">
        <v>2019</v>
      </c>
      <c r="AB3" s="889" t="s">
        <v>2020</v>
      </c>
      <c r="AC3" s="889" t="s">
        <v>2021</v>
      </c>
      <c r="AD3" s="889"/>
      <c r="AG3" s="889"/>
      <c r="AH3" s="889"/>
    </row>
    <row r="4" spans="1:34" ht="9" customHeight="1">
      <c r="A4" s="902"/>
      <c r="B4" s="902"/>
      <c r="C4" s="900"/>
      <c r="D4" s="900"/>
      <c r="E4" s="900"/>
      <c r="F4" s="900"/>
      <c r="G4" s="900"/>
      <c r="H4" s="900"/>
      <c r="I4" s="900"/>
      <c r="J4" s="900"/>
      <c r="K4" s="900"/>
      <c r="L4" s="900"/>
      <c r="M4" s="900"/>
      <c r="N4" s="900"/>
      <c r="O4" s="900"/>
      <c r="P4" s="900"/>
      <c r="Q4" s="900"/>
      <c r="R4" s="900"/>
      <c r="S4" s="900"/>
      <c r="T4" s="900"/>
      <c r="U4" s="900"/>
      <c r="V4" s="900"/>
      <c r="W4" s="900"/>
      <c r="X4" s="900"/>
      <c r="Y4" s="904"/>
      <c r="Z4" s="889"/>
      <c r="AA4" s="896"/>
      <c r="AB4" s="889"/>
      <c r="AC4" s="889"/>
      <c r="AD4" s="889"/>
    </row>
    <row r="5" spans="1:34" ht="9" customHeight="1">
      <c r="A5" s="902"/>
      <c r="B5" s="902"/>
      <c r="C5" s="900"/>
      <c r="D5" s="900"/>
      <c r="E5" s="900"/>
      <c r="F5" s="900"/>
      <c r="G5" s="900"/>
      <c r="H5" s="900"/>
      <c r="I5" s="900"/>
      <c r="J5" s="900"/>
      <c r="K5" s="900"/>
      <c r="L5" s="900"/>
      <c r="M5" s="900"/>
      <c r="N5" s="900"/>
      <c r="O5" s="900"/>
      <c r="P5" s="900"/>
      <c r="Q5" s="900"/>
      <c r="R5" s="900"/>
      <c r="S5" s="900"/>
      <c r="T5" s="900"/>
      <c r="U5" s="900"/>
      <c r="V5" s="900"/>
      <c r="W5" s="900"/>
      <c r="X5" s="900"/>
      <c r="Y5" s="904"/>
      <c r="Z5" s="889"/>
      <c r="AA5" s="896"/>
      <c r="AB5" s="889"/>
      <c r="AC5" s="889"/>
      <c r="AD5" s="889"/>
    </row>
    <row r="6" spans="1:34" ht="9" customHeight="1">
      <c r="A6" s="902"/>
      <c r="B6" s="902"/>
      <c r="C6" s="900"/>
      <c r="D6" s="900"/>
      <c r="E6" s="900"/>
      <c r="F6" s="900"/>
      <c r="G6" s="900"/>
      <c r="H6" s="900"/>
      <c r="I6" s="900"/>
      <c r="J6" s="900"/>
      <c r="K6" s="900"/>
      <c r="L6" s="900"/>
      <c r="M6" s="900"/>
      <c r="N6" s="900"/>
      <c r="O6" s="900"/>
      <c r="P6" s="900"/>
      <c r="Q6" s="900"/>
      <c r="R6" s="900"/>
      <c r="S6" s="900"/>
      <c r="T6" s="900"/>
      <c r="U6" s="900"/>
      <c r="V6" s="900"/>
      <c r="W6" s="900"/>
      <c r="X6" s="900"/>
      <c r="Y6" s="904"/>
      <c r="Z6" s="889"/>
      <c r="AA6" s="896"/>
      <c r="AB6" s="889"/>
      <c r="AC6" s="889"/>
      <c r="AD6" s="889"/>
    </row>
    <row r="7" spans="1:34" ht="9" customHeight="1">
      <c r="A7" s="902"/>
      <c r="B7" s="902"/>
      <c r="C7" s="900"/>
      <c r="D7" s="900"/>
      <c r="E7" s="900"/>
      <c r="F7" s="900"/>
      <c r="G7" s="900"/>
      <c r="H7" s="900"/>
      <c r="I7" s="900"/>
      <c r="J7" s="900"/>
      <c r="K7" s="900"/>
      <c r="L7" s="900"/>
      <c r="M7" s="900"/>
      <c r="N7" s="900"/>
      <c r="O7" s="900"/>
      <c r="P7" s="900"/>
      <c r="Q7" s="900"/>
      <c r="R7" s="900"/>
      <c r="S7" s="900"/>
      <c r="T7" s="900"/>
      <c r="U7" s="900"/>
      <c r="V7" s="900"/>
      <c r="W7" s="900"/>
      <c r="X7" s="900"/>
      <c r="Y7" s="904"/>
      <c r="Z7" s="889"/>
      <c r="AA7" s="896"/>
      <c r="AB7" s="889"/>
      <c r="AC7" s="889"/>
      <c r="AD7" s="889"/>
    </row>
    <row r="8" spans="1:34" ht="9" customHeight="1">
      <c r="A8" s="902"/>
      <c r="B8" s="902"/>
      <c r="C8" s="900"/>
      <c r="D8" s="900"/>
      <c r="E8" s="900"/>
      <c r="F8" s="900"/>
      <c r="G8" s="900"/>
      <c r="H8" s="900"/>
      <c r="I8" s="900"/>
      <c r="J8" s="900"/>
      <c r="K8" s="900"/>
      <c r="L8" s="900"/>
      <c r="M8" s="900"/>
      <c r="N8" s="900"/>
      <c r="O8" s="900"/>
      <c r="P8" s="900"/>
      <c r="Q8" s="900"/>
      <c r="R8" s="900"/>
      <c r="S8" s="900"/>
      <c r="T8" s="900"/>
      <c r="U8" s="900"/>
      <c r="V8" s="900"/>
      <c r="W8" s="900"/>
      <c r="X8" s="900"/>
      <c r="Y8" s="904"/>
      <c r="Z8" s="889"/>
      <c r="AA8" s="896"/>
      <c r="AB8" s="889"/>
      <c r="AC8" s="889"/>
      <c r="AD8" s="889"/>
    </row>
    <row r="9" spans="1:34" ht="9" customHeight="1">
      <c r="A9" s="902"/>
      <c r="B9" s="902"/>
      <c r="C9" s="900"/>
      <c r="D9" s="900"/>
      <c r="E9" s="900"/>
      <c r="F9" s="900"/>
      <c r="G9" s="900"/>
      <c r="H9" s="900"/>
      <c r="I9" s="900"/>
      <c r="J9" s="900"/>
      <c r="K9" s="900"/>
      <c r="L9" s="900"/>
      <c r="M9" s="900"/>
      <c r="N9" s="900"/>
      <c r="O9" s="900"/>
      <c r="P9" s="900"/>
      <c r="Q9" s="900"/>
      <c r="R9" s="900"/>
      <c r="S9" s="900"/>
      <c r="T9" s="900"/>
      <c r="U9" s="900"/>
      <c r="V9" s="900"/>
      <c r="W9" s="900"/>
      <c r="X9" s="900"/>
      <c r="Y9" s="904"/>
      <c r="Z9" s="889"/>
      <c r="AA9" s="896"/>
      <c r="AB9" s="889"/>
      <c r="AC9" s="889"/>
      <c r="AD9" s="889"/>
    </row>
    <row r="10" spans="1:34" ht="9" customHeight="1">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r="11" spans="1:34" ht="45" customHeight="1">
      <c r="A11" s="1375" t="s">
        <v>33</v>
      </c>
      <c r="B11" s="905">
        <v>1</v>
      </c>
      <c r="C11" s="1381" t="s">
        <v>1558</v>
      </c>
      <c r="D11" s="1381" t="s">
        <v>1554</v>
      </c>
      <c r="E11" s="1381" t="s">
        <v>1652</v>
      </c>
      <c r="F11" s="1381" t="s">
        <v>2022</v>
      </c>
      <c r="G11" s="1381"/>
      <c r="H11" s="897" t="s">
        <v>2023</v>
      </c>
      <c r="I11" s="897"/>
      <c r="J11" s="897"/>
      <c r="K11" s="897"/>
      <c r="L11" s="897"/>
      <c r="M11" s="903" t="str">
        <f>IF(TEMPLATE_SPHERE="HEAT",T11,U11)</f>
        <v>Количество поданных заявок</v>
      </c>
      <c r="N11" s="90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0"/>
      <c r="P11" s="900"/>
      <c r="Q11" s="900"/>
      <c r="R11" s="900"/>
      <c r="S11" s="900"/>
      <c r="T11" s="900" t="s">
        <v>2024</v>
      </c>
      <c r="U11" s="900" t="s">
        <v>2025</v>
      </c>
      <c r="V11" s="900"/>
      <c r="W11" s="900"/>
      <c r="X11" s="900"/>
      <c r="Y11" s="904"/>
      <c r="Z11" s="889" t="s">
        <v>2026</v>
      </c>
      <c r="AA11" s="89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9"/>
      <c r="AC11" s="889"/>
      <c r="AD11" s="889"/>
    </row>
    <row r="12" spans="1:34" ht="45" customHeight="1">
      <c r="A12" s="1375"/>
      <c r="B12" s="905">
        <v>2</v>
      </c>
      <c r="C12" s="1382"/>
      <c r="D12" s="1382"/>
      <c r="E12" s="1382"/>
      <c r="F12" s="1382"/>
      <c r="G12" s="1382"/>
      <c r="H12" s="897" t="s">
        <v>2027</v>
      </c>
      <c r="I12" s="897"/>
      <c r="J12" s="897"/>
      <c r="K12" s="897"/>
      <c r="L12" s="897"/>
      <c r="M12" s="903" t="str">
        <f>IF(TEMPLATE_SPHERE="HEAT",T12,U12)</f>
        <v>Количество рассмотренных заявок</v>
      </c>
      <c r="N12" s="90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0"/>
      <c r="P12" s="900"/>
      <c r="Q12" s="900"/>
      <c r="R12" s="900"/>
      <c r="S12" s="900"/>
      <c r="T12" s="900" t="s">
        <v>2028</v>
      </c>
      <c r="U12" s="900" t="s">
        <v>2029</v>
      </c>
      <c r="V12" s="900"/>
      <c r="W12" s="900"/>
      <c r="X12" s="900"/>
      <c r="Y12" s="904"/>
      <c r="Z12" s="889" t="s">
        <v>2030</v>
      </c>
      <c r="AA12" s="89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9"/>
      <c r="AC12" s="889"/>
      <c r="AD12" s="889"/>
    </row>
    <row r="13" spans="1:34" ht="72" customHeight="1">
      <c r="A13" s="1375"/>
      <c r="B13" s="905">
        <v>3</v>
      </c>
      <c r="C13" s="1382"/>
      <c r="D13" s="1382"/>
      <c r="E13" s="1382"/>
      <c r="F13" s="1382"/>
      <c r="G13" s="1382"/>
      <c r="H13" s="1374" t="s">
        <v>2031</v>
      </c>
      <c r="I13" s="897"/>
      <c r="J13" s="897"/>
      <c r="K13" s="897"/>
      <c r="L13" s="897"/>
      <c r="M13" s="90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3" t="str">
        <f t="shared" si="0"/>
        <v>Указывается количество заявок с решением об отказе в течение отчетного квартала.</v>
      </c>
      <c r="O13" s="900"/>
      <c r="P13" s="903"/>
      <c r="Q13" s="903"/>
      <c r="R13" s="903"/>
      <c r="S13" s="900"/>
      <c r="T13" s="900" t="s">
        <v>2032</v>
      </c>
      <c r="U13" s="903" t="s">
        <v>2033</v>
      </c>
      <c r="V13" s="903"/>
      <c r="W13" s="903"/>
      <c r="X13" s="900"/>
      <c r="Y13" s="904"/>
      <c r="Z13" s="889" t="s">
        <v>2034</v>
      </c>
      <c r="AA13" s="89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9"/>
      <c r="AC13" s="889"/>
      <c r="AD13" s="889"/>
    </row>
    <row r="14" spans="1:34" ht="45" customHeight="1">
      <c r="A14" s="1375"/>
      <c r="B14" s="905">
        <v>4</v>
      </c>
      <c r="C14" s="1382"/>
      <c r="D14" s="1382"/>
      <c r="E14" s="1382"/>
      <c r="F14" s="1382"/>
      <c r="G14" s="1382"/>
      <c r="H14" s="1374"/>
      <c r="I14" s="906"/>
      <c r="J14" s="906"/>
      <c r="K14" s="906"/>
      <c r="L14" s="906"/>
      <c r="M14" s="907" t="str">
        <f>IF(TEMPLATE_SPHERE="HEAT",T14,U14)</f>
        <v>Причины отказа в заключении договора о подключении (технологическом присоединении) к системе теплоснабжения</v>
      </c>
      <c r="N14" s="90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900"/>
      <c r="P14" s="903"/>
      <c r="Q14" s="903"/>
      <c r="R14" s="903"/>
      <c r="S14" s="900"/>
      <c r="T14" s="900" t="s">
        <v>2035</v>
      </c>
      <c r="U14" s="90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3"/>
      <c r="W14" s="903"/>
      <c r="X14" s="900"/>
      <c r="Y14" s="904"/>
      <c r="Z14" s="889" t="s">
        <v>2036</v>
      </c>
      <c r="AA14" s="896" t="s">
        <v>2036</v>
      </c>
      <c r="AB14" s="889"/>
      <c r="AC14" s="889"/>
      <c r="AD14" s="889"/>
    </row>
    <row r="15" spans="1:34" ht="108" customHeight="1">
      <c r="A15" s="1375"/>
      <c r="B15" s="905">
        <v>5</v>
      </c>
      <c r="C15" s="1382"/>
      <c r="D15" s="1382"/>
      <c r="E15" s="1382"/>
      <c r="F15" s="1382"/>
      <c r="G15" s="1382"/>
      <c r="H15" s="1376" t="s">
        <v>2037</v>
      </c>
      <c r="I15" s="908"/>
      <c r="J15" s="908"/>
      <c r="K15" s="908"/>
      <c r="L15" s="908"/>
      <c r="M15" s="896" t="str">
        <f>IF(TEMPLATE_SPHERE="HEAT",T15,U15)</f>
        <v>Резерв мощности источников тепловой энергии, входящих в систему теплоснабжения, в течение одного квартала, в том числе:</v>
      </c>
      <c r="N15" s="90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0"/>
      <c r="P15" s="903"/>
      <c r="Q15" s="903"/>
      <c r="R15" s="903"/>
      <c r="S15" s="900"/>
      <c r="T15" s="900" t="s">
        <v>2038</v>
      </c>
      <c r="U15" s="90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3"/>
      <c r="W15" s="903"/>
      <c r="X15" s="900"/>
      <c r="Y15" s="904"/>
      <c r="Z15" s="889" t="s">
        <v>2039</v>
      </c>
      <c r="AA15" s="89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9"/>
      <c r="AC15" s="889"/>
      <c r="AD15" s="889"/>
    </row>
    <row r="16" spans="1:34" ht="108" customHeight="1">
      <c r="A16" s="905"/>
      <c r="B16" s="905">
        <v>6</v>
      </c>
      <c r="C16" s="1383"/>
      <c r="D16" s="1383"/>
      <c r="E16" s="1383"/>
      <c r="F16" s="1383"/>
      <c r="G16" s="1383"/>
      <c r="H16" s="1377"/>
      <c r="I16" s="910"/>
      <c r="J16" s="910"/>
      <c r="K16" s="910"/>
      <c r="L16" s="910"/>
      <c r="M16" s="911"/>
      <c r="N16" s="90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0"/>
      <c r="P16" s="903"/>
      <c r="Q16" s="903"/>
      <c r="R16" s="903"/>
      <c r="S16" s="900"/>
      <c r="T16" s="900"/>
      <c r="U16" s="903"/>
      <c r="V16" s="903"/>
      <c r="W16" s="903"/>
      <c r="X16" s="900"/>
      <c r="Y16" s="904"/>
      <c r="Z16" s="889" t="s">
        <v>2039</v>
      </c>
      <c r="AA16" s="89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9"/>
      <c r="AC16" s="889"/>
      <c r="AD16" s="889"/>
    </row>
    <row r="17" spans="1:30" ht="9" customHeight="1">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r="18" spans="1:30" ht="27" customHeight="1">
      <c r="A18" s="902" t="s">
        <v>1655</v>
      </c>
      <c r="B18" s="905">
        <v>1</v>
      </c>
      <c r="C18" s="900" t="s">
        <v>2023</v>
      </c>
      <c r="D18" s="912" t="s">
        <v>2023</v>
      </c>
      <c r="E18" s="900" t="s">
        <v>2023</v>
      </c>
      <c r="F18" s="900" t="s">
        <v>2023</v>
      </c>
      <c r="G18" s="900"/>
      <c r="H18" s="913"/>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903">
        <f t="shared" ref="L18:L49" si="4">IF(I18=0,"",I18)</f>
        <v>1</v>
      </c>
      <c r="M18" s="903" t="str">
        <f t="shared" ref="M18:M49" si="5">IF(J18=0,"",J18)</f>
        <v>Выручка от регулируемого вида деятельности с распределением по видам деятельности</v>
      </c>
      <c r="N18" s="903" t="str">
        <f t="shared" ref="N18:N49" si="6">IF(K18=0,"",K18)</f>
        <v>Указывается выручка от регулируемого вида деятельности с распределением по видам деятельности.</v>
      </c>
      <c r="O18" s="915">
        <v>1</v>
      </c>
      <c r="P18" s="915">
        <v>1</v>
      </c>
      <c r="Q18" s="915">
        <v>1</v>
      </c>
      <c r="R18" s="915">
        <v>1</v>
      </c>
      <c r="S18" s="915"/>
      <c r="T18" s="916" t="s">
        <v>2040</v>
      </c>
      <c r="U18" s="889" t="s">
        <v>2041</v>
      </c>
      <c r="V18" s="889" t="s">
        <v>2042</v>
      </c>
      <c r="W18" s="889" t="s">
        <v>2043</v>
      </c>
      <c r="X18" s="900"/>
      <c r="Y18" s="904"/>
      <c r="Z18" s="889" t="s">
        <v>2044</v>
      </c>
      <c r="AA18" s="896" t="s">
        <v>2045</v>
      </c>
      <c r="AB18" s="896" t="s">
        <v>2045</v>
      </c>
      <c r="AC18" s="896" t="s">
        <v>2045</v>
      </c>
      <c r="AD18" s="889"/>
    </row>
    <row r="19" spans="1:30" ht="36" customHeight="1">
      <c r="A19" s="902"/>
      <c r="B19" s="905">
        <v>2</v>
      </c>
      <c r="C19" s="900" t="s">
        <v>2027</v>
      </c>
      <c r="D19" s="912" t="s">
        <v>2027</v>
      </c>
      <c r="E19" s="900" t="s">
        <v>2027</v>
      </c>
      <c r="F19" s="900" t="s">
        <v>2027</v>
      </c>
      <c r="G19" s="900"/>
      <c r="H19" s="913"/>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903">
        <f t="shared" si="4"/>
        <v>2</v>
      </c>
      <c r="M19" s="903" t="str">
        <f t="shared" si="5"/>
        <v>Себестоимость производимых товаров (оказываемых услуг) по регулируемому виду деятельности, включая:</v>
      </c>
      <c r="N19" s="903" t="str">
        <f t="shared" si="6"/>
        <v>Указывается суммарная себестоимость производимых товаров.</v>
      </c>
      <c r="O19" s="915">
        <v>2</v>
      </c>
      <c r="P19" s="915">
        <v>2</v>
      </c>
      <c r="Q19" s="915">
        <v>2</v>
      </c>
      <c r="R19" s="915">
        <v>2</v>
      </c>
      <c r="S19" s="915"/>
      <c r="T19" s="916" t="s">
        <v>2046</v>
      </c>
      <c r="U19" s="889" t="s">
        <v>2047</v>
      </c>
      <c r="V19" s="889" t="s">
        <v>2048</v>
      </c>
      <c r="W19" s="889" t="s">
        <v>2049</v>
      </c>
      <c r="X19" s="900"/>
      <c r="Y19" s="904"/>
      <c r="Z19" s="889" t="s">
        <v>2050</v>
      </c>
      <c r="AA19" s="896" t="s">
        <v>2050</v>
      </c>
      <c r="AB19" s="896" t="s">
        <v>2050</v>
      </c>
      <c r="AC19" s="896" t="s">
        <v>2050</v>
      </c>
      <c r="AD19" s="889"/>
    </row>
    <row r="20" spans="1:30" ht="27" customHeight="1">
      <c r="A20" s="902"/>
      <c r="B20" s="905">
        <v>3</v>
      </c>
      <c r="C20" s="900">
        <v>1</v>
      </c>
      <c r="D20" s="912"/>
      <c r="E20" s="900"/>
      <c r="F20" s="900"/>
      <c r="G20" s="900"/>
      <c r="H20" s="913"/>
      <c r="I20" s="914" t="str">
        <f t="shared" si="1"/>
        <v>2.1</v>
      </c>
      <c r="J20" s="914" t="str">
        <f t="shared" si="2"/>
        <v>Расходы на приобретаемую тепловую энергию (мощность), теплоноситель</v>
      </c>
      <c r="K20" s="914">
        <f t="shared" si="3"/>
        <v>0</v>
      </c>
      <c r="L20" s="903" t="str">
        <f t="shared" si="4"/>
        <v>2.1</v>
      </c>
      <c r="M20" s="903" t="str">
        <f t="shared" si="5"/>
        <v>Расходы на приобретаемую тепловую энергию (мощность), теплоноситель</v>
      </c>
      <c r="N20" s="903" t="str">
        <f t="shared" si="6"/>
        <v/>
      </c>
      <c r="O20" s="915" t="s">
        <v>710</v>
      </c>
      <c r="P20" s="915" t="s">
        <v>710</v>
      </c>
      <c r="Q20" s="915" t="s">
        <v>710</v>
      </c>
      <c r="R20" s="915" t="s">
        <v>710</v>
      </c>
      <c r="S20" s="915"/>
      <c r="T20" s="916" t="s">
        <v>2051</v>
      </c>
      <c r="U20" s="889" t="s">
        <v>2052</v>
      </c>
      <c r="V20" s="889" t="s">
        <v>2053</v>
      </c>
      <c r="W20" s="889" t="s">
        <v>2054</v>
      </c>
      <c r="X20" s="900"/>
      <c r="Y20" s="904"/>
      <c r="Z20" s="889"/>
      <c r="AA20" s="896"/>
      <c r="AB20" s="889"/>
      <c r="AC20" s="889"/>
      <c r="AD20" s="889"/>
    </row>
    <row r="21" spans="1:30" ht="36" customHeight="1">
      <c r="A21" s="902"/>
      <c r="B21" s="905">
        <v>4</v>
      </c>
      <c r="C21" s="900">
        <v>2</v>
      </c>
      <c r="D21" s="912"/>
      <c r="E21" s="900"/>
      <c r="F21" s="900"/>
      <c r="G21" s="900"/>
      <c r="H21" s="913"/>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903" t="str">
        <f t="shared" si="4"/>
        <v>2.2</v>
      </c>
      <c r="M21" s="90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903" t="str">
        <f t="shared" si="6"/>
        <v>Указываются суммарные расходы на приобретение топлива всех видов.</v>
      </c>
      <c r="O21" s="915" t="s">
        <v>308</v>
      </c>
      <c r="P21" s="915"/>
      <c r="Q21" s="915"/>
      <c r="R21" s="915"/>
      <c r="S21" s="915"/>
      <c r="T21" s="916" t="s">
        <v>2055</v>
      </c>
      <c r="U21" s="889"/>
      <c r="V21" s="889"/>
      <c r="W21" s="889"/>
      <c r="X21" s="900"/>
      <c r="Y21" s="904"/>
      <c r="Z21" s="889" t="s">
        <v>2056</v>
      </c>
      <c r="AA21" s="896"/>
      <c r="AB21" s="889"/>
      <c r="AC21" s="889"/>
      <c r="AD21" s="889"/>
    </row>
    <row r="22" spans="1:30" ht="36" customHeight="1">
      <c r="A22" s="902"/>
      <c r="B22" s="905">
        <v>5</v>
      </c>
      <c r="C22" s="900">
        <v>3</v>
      </c>
      <c r="D22" s="912"/>
      <c r="E22" s="900"/>
      <c r="F22" s="900"/>
      <c r="G22" s="917"/>
      <c r="H22" s="918"/>
      <c r="I22" s="914">
        <f t="shared" si="1"/>
        <v>0</v>
      </c>
      <c r="J22" s="914">
        <f t="shared" si="2"/>
        <v>0</v>
      </c>
      <c r="K22" s="914">
        <f t="shared" si="3"/>
        <v>0</v>
      </c>
      <c r="L22" s="903" t="str">
        <f t="shared" si="4"/>
        <v/>
      </c>
      <c r="M22" s="903" t="str">
        <f t="shared" si="5"/>
        <v/>
      </c>
      <c r="N22" s="903" t="str">
        <f t="shared" si="6"/>
        <v/>
      </c>
      <c r="O22" s="915"/>
      <c r="P22" s="915"/>
      <c r="Q22" s="915" t="s">
        <v>308</v>
      </c>
      <c r="R22" s="915"/>
      <c r="S22" s="915"/>
      <c r="T22" s="916"/>
      <c r="U22" s="889"/>
      <c r="V22" s="889" t="s">
        <v>2057</v>
      </c>
      <c r="W22" s="889"/>
      <c r="X22" s="900"/>
      <c r="Y22" s="904"/>
      <c r="Z22" s="889"/>
      <c r="AA22" s="896"/>
      <c r="AB22" s="889"/>
      <c r="AC22" s="889"/>
      <c r="AD22" s="889"/>
    </row>
    <row r="23" spans="1:30" ht="27" customHeight="1">
      <c r="A23" s="902"/>
      <c r="B23" s="905">
        <v>6</v>
      </c>
      <c r="C23" s="900">
        <v>4</v>
      </c>
      <c r="D23" s="912"/>
      <c r="E23" s="900"/>
      <c r="F23" s="900"/>
      <c r="G23" s="917"/>
      <c r="H23" s="918"/>
      <c r="I23" s="914">
        <f t="shared" si="1"/>
        <v>0</v>
      </c>
      <c r="J23" s="914">
        <f t="shared" si="2"/>
        <v>0</v>
      </c>
      <c r="K23" s="914">
        <f t="shared" si="3"/>
        <v>0</v>
      </c>
      <c r="L23" s="903" t="str">
        <f t="shared" si="4"/>
        <v/>
      </c>
      <c r="M23" s="903" t="str">
        <f t="shared" si="5"/>
        <v/>
      </c>
      <c r="N23" s="903" t="str">
        <f t="shared" si="6"/>
        <v/>
      </c>
      <c r="O23" s="915"/>
      <c r="P23" s="915"/>
      <c r="Q23" s="915" t="s">
        <v>311</v>
      </c>
      <c r="R23" s="915"/>
      <c r="S23" s="915"/>
      <c r="T23" s="916"/>
      <c r="U23" s="889"/>
      <c r="V23" s="889" t="s">
        <v>2058</v>
      </c>
      <c r="W23" s="889"/>
      <c r="X23" s="900"/>
      <c r="Y23" s="904"/>
      <c r="Z23" s="889"/>
      <c r="AA23" s="896"/>
      <c r="AB23" s="889"/>
      <c r="AC23" s="889"/>
      <c r="AD23" s="889"/>
    </row>
    <row r="24" spans="1:30" ht="36" customHeight="1">
      <c r="A24" s="902"/>
      <c r="B24" s="905">
        <v>7</v>
      </c>
      <c r="C24" s="900">
        <v>5</v>
      </c>
      <c r="D24" s="912"/>
      <c r="E24" s="900"/>
      <c r="F24" s="900"/>
      <c r="G24" s="917"/>
      <c r="H24" s="918"/>
      <c r="I24" s="914">
        <f t="shared" si="1"/>
        <v>0</v>
      </c>
      <c r="J24" s="914">
        <f t="shared" si="2"/>
        <v>0</v>
      </c>
      <c r="K24" s="914">
        <f t="shared" si="3"/>
        <v>0</v>
      </c>
      <c r="L24" s="903" t="str">
        <f t="shared" si="4"/>
        <v/>
      </c>
      <c r="M24" s="903" t="str">
        <f t="shared" si="5"/>
        <v/>
      </c>
      <c r="N24" s="903" t="str">
        <f t="shared" si="6"/>
        <v/>
      </c>
      <c r="O24" s="915"/>
      <c r="P24" s="915"/>
      <c r="Q24" s="915" t="s">
        <v>730</v>
      </c>
      <c r="R24" s="915"/>
      <c r="S24" s="915"/>
      <c r="T24" s="916"/>
      <c r="U24" s="889"/>
      <c r="V24" s="889" t="s">
        <v>2059</v>
      </c>
      <c r="W24" s="889"/>
      <c r="X24" s="900"/>
      <c r="Y24" s="904"/>
      <c r="Z24" s="889"/>
      <c r="AA24" s="896"/>
      <c r="AB24" s="889"/>
      <c r="AC24" s="889"/>
      <c r="AD24" s="889"/>
    </row>
    <row r="25" spans="1:30" ht="36" customHeight="1">
      <c r="A25" s="902"/>
      <c r="B25" s="905">
        <v>8</v>
      </c>
      <c r="C25" s="900">
        <v>6</v>
      </c>
      <c r="D25" s="912"/>
      <c r="E25" s="900"/>
      <c r="F25" s="900"/>
      <c r="G25" s="917"/>
      <c r="H25" s="918"/>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903" t="str">
        <f t="shared" si="4"/>
        <v>2.3</v>
      </c>
      <c r="M25" s="903" t="str">
        <f t="shared" si="5"/>
        <v>Расходы на приобретаемую электрическую энергию (мощность), используемую в технологическом процессе</v>
      </c>
      <c r="N25" s="903" t="str">
        <f t="shared" si="6"/>
        <v/>
      </c>
      <c r="O25" s="915" t="s">
        <v>311</v>
      </c>
      <c r="P25" s="915" t="s">
        <v>308</v>
      </c>
      <c r="Q25" s="915" t="s">
        <v>737</v>
      </c>
      <c r="R25" s="915" t="s">
        <v>308</v>
      </c>
      <c r="S25" s="915"/>
      <c r="T25" s="916" t="s">
        <v>2060</v>
      </c>
      <c r="U25" s="889" t="s">
        <v>2060</v>
      </c>
      <c r="V25" s="889" t="s">
        <v>2060</v>
      </c>
      <c r="W25" s="889" t="s">
        <v>2060</v>
      </c>
      <c r="X25" s="900"/>
      <c r="Y25" s="904"/>
      <c r="Z25" s="889"/>
      <c r="AA25" s="896"/>
      <c r="AB25" s="889"/>
      <c r="AC25" s="889"/>
      <c r="AD25" s="889"/>
    </row>
    <row r="26" spans="1:30" ht="18" customHeight="1">
      <c r="A26" s="902"/>
      <c r="B26" s="905">
        <v>9</v>
      </c>
      <c r="C26" s="900" t="s">
        <v>653</v>
      </c>
      <c r="D26" s="912"/>
      <c r="E26" s="900"/>
      <c r="F26" s="900"/>
      <c r="G26" s="917"/>
      <c r="H26" s="918"/>
      <c r="I26" s="914" t="str">
        <f t="shared" si="1"/>
        <v>2.3.1</v>
      </c>
      <c r="J26" s="914" t="str">
        <f t="shared" si="2"/>
        <v>Средневзвешенная стоимость 1 кВт.ч (с учетом мощности)</v>
      </c>
      <c r="K26" s="914">
        <f t="shared" si="3"/>
        <v>0</v>
      </c>
      <c r="L26" s="903" t="str">
        <f t="shared" si="4"/>
        <v>2.3.1</v>
      </c>
      <c r="M26" s="903" t="str">
        <f t="shared" si="5"/>
        <v>Средневзвешенная стоимость 1 кВт.ч (с учетом мощности)</v>
      </c>
      <c r="N26" s="903" t="str">
        <f t="shared" si="6"/>
        <v/>
      </c>
      <c r="O26" s="915" t="s">
        <v>726</v>
      </c>
      <c r="P26" s="915" t="s">
        <v>720</v>
      </c>
      <c r="Q26" s="915" t="s">
        <v>2061</v>
      </c>
      <c r="R26" s="915" t="s">
        <v>720</v>
      </c>
      <c r="S26" s="915"/>
      <c r="T26" s="91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16" t="s">
        <v>2062</v>
      </c>
      <c r="V26" s="916" t="s">
        <v>2062</v>
      </c>
      <c r="W26" s="916" t="s">
        <v>2062</v>
      </c>
      <c r="X26" s="900"/>
      <c r="Y26" s="904"/>
      <c r="Z26" s="889"/>
      <c r="AA26" s="896"/>
      <c r="AB26" s="889"/>
      <c r="AC26" s="889"/>
      <c r="AD26" s="889"/>
    </row>
    <row r="27" spans="1:30" ht="18" customHeight="1">
      <c r="A27" s="902"/>
      <c r="B27" s="905">
        <v>10</v>
      </c>
      <c r="C27" s="900" t="s">
        <v>657</v>
      </c>
      <c r="D27" s="912"/>
      <c r="E27" s="900"/>
      <c r="F27" s="900"/>
      <c r="G27" s="917"/>
      <c r="H27" s="918"/>
      <c r="I27" s="914" t="str">
        <f t="shared" si="1"/>
        <v>2.3.2</v>
      </c>
      <c r="J27" s="914" t="str">
        <f t="shared" si="2"/>
        <v>Объём приобретения электрической энергии</v>
      </c>
      <c r="K27" s="914">
        <f t="shared" si="3"/>
        <v>0</v>
      </c>
      <c r="L27" s="903" t="str">
        <f t="shared" si="4"/>
        <v>2.3.2</v>
      </c>
      <c r="M27" s="903" t="str">
        <f t="shared" si="5"/>
        <v>Объём приобретения электрической энергии</v>
      </c>
      <c r="N27" s="903" t="str">
        <f t="shared" si="6"/>
        <v/>
      </c>
      <c r="O27" s="915" t="s">
        <v>728</v>
      </c>
      <c r="P27" s="915" t="s">
        <v>722</v>
      </c>
      <c r="Q27" s="915" t="s">
        <v>2063</v>
      </c>
      <c r="R27" s="915" t="s">
        <v>722</v>
      </c>
      <c r="S27" s="915"/>
      <c r="T27" s="916" t="s">
        <v>2064</v>
      </c>
      <c r="U27" s="916" t="s">
        <v>2064</v>
      </c>
      <c r="V27" s="916" t="s">
        <v>2064</v>
      </c>
      <c r="W27" s="916" t="s">
        <v>2064</v>
      </c>
      <c r="X27" s="900"/>
      <c r="Y27" s="904"/>
      <c r="Z27" s="889"/>
      <c r="AA27" s="896"/>
      <c r="AB27" s="889"/>
      <c r="AC27" s="889"/>
      <c r="AD27" s="889"/>
    </row>
    <row r="28" spans="1:30" ht="27" customHeight="1">
      <c r="A28" s="902"/>
      <c r="B28" s="905">
        <v>11</v>
      </c>
      <c r="C28" s="900">
        <v>7</v>
      </c>
      <c r="D28" s="912"/>
      <c r="E28" s="900"/>
      <c r="F28" s="900"/>
      <c r="G28" s="917"/>
      <c r="H28" s="918"/>
      <c r="I28" s="914" t="str">
        <f t="shared" si="1"/>
        <v>2.4</v>
      </c>
      <c r="J28" s="914" t="str">
        <f t="shared" si="2"/>
        <v>Расходы на приобретение холодной воды, используемой в технологическом процессе</v>
      </c>
      <c r="K28" s="914">
        <f t="shared" si="3"/>
        <v>0</v>
      </c>
      <c r="L28" s="903" t="str">
        <f t="shared" si="4"/>
        <v>2.4</v>
      </c>
      <c r="M28" s="903" t="str">
        <f t="shared" si="5"/>
        <v>Расходы на приобретение холодной воды, используемой в технологическом процессе</v>
      </c>
      <c r="N28" s="903" t="str">
        <f t="shared" si="6"/>
        <v/>
      </c>
      <c r="O28" s="915" t="s">
        <v>730</v>
      </c>
      <c r="P28" s="915"/>
      <c r="Q28" s="915"/>
      <c r="R28" s="915"/>
      <c r="S28" s="915"/>
      <c r="T28" s="916" t="s">
        <v>2065</v>
      </c>
      <c r="U28" s="889"/>
      <c r="V28" s="889"/>
      <c r="W28" s="889"/>
      <c r="X28" s="900"/>
      <c r="Y28" s="904"/>
      <c r="Z28" s="889"/>
      <c r="AA28" s="896"/>
      <c r="AB28" s="889"/>
      <c r="AC28" s="889"/>
      <c r="AD28" s="889"/>
    </row>
    <row r="29" spans="1:30" ht="27" customHeight="1">
      <c r="A29" s="902"/>
      <c r="B29" s="905">
        <v>12</v>
      </c>
      <c r="C29" s="900">
        <v>8</v>
      </c>
      <c r="D29" s="912"/>
      <c r="E29" s="900"/>
      <c r="F29" s="900"/>
      <c r="G29" s="917"/>
      <c r="H29" s="918"/>
      <c r="I29" s="914" t="str">
        <f t="shared" si="1"/>
        <v>2.5</v>
      </c>
      <c r="J29" s="914" t="str">
        <f t="shared" si="2"/>
        <v>Расходы на  химические реагенты, используемые в технологическом процессе</v>
      </c>
      <c r="K29" s="914">
        <f t="shared" si="3"/>
        <v>0</v>
      </c>
      <c r="L29" s="903" t="str">
        <f t="shared" si="4"/>
        <v>2.5</v>
      </c>
      <c r="M29" s="903" t="str">
        <f t="shared" si="5"/>
        <v>Расходы на  химические реагенты, используемые в технологическом процессе</v>
      </c>
      <c r="N29" s="903" t="str">
        <f t="shared" si="6"/>
        <v/>
      </c>
      <c r="O29" s="915" t="s">
        <v>737</v>
      </c>
      <c r="P29" s="915" t="s">
        <v>311</v>
      </c>
      <c r="Q29" s="915"/>
      <c r="R29" s="915" t="s">
        <v>311</v>
      </c>
      <c r="S29" s="915"/>
      <c r="T29" s="91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89" t="s">
        <v>2066</v>
      </c>
      <c r="V29" s="889"/>
      <c r="W29" s="889" t="s">
        <v>2066</v>
      </c>
      <c r="X29" s="900"/>
      <c r="Y29" s="904"/>
      <c r="Z29" s="889"/>
      <c r="AA29" s="896"/>
      <c r="AB29" s="889"/>
      <c r="AC29" s="889"/>
      <c r="AD29" s="889"/>
    </row>
    <row r="30" spans="1:30" ht="54" customHeight="1">
      <c r="A30" s="902"/>
      <c r="B30" s="905">
        <v>13</v>
      </c>
      <c r="C30" s="900">
        <v>9</v>
      </c>
      <c r="D30" s="912"/>
      <c r="E30" s="900"/>
      <c r="F30" s="900"/>
      <c r="G30" s="917"/>
      <c r="H30" s="918"/>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903" t="str">
        <f t="shared" si="4"/>
        <v>2.6</v>
      </c>
      <c r="M30" s="90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3" t="str">
        <f t="shared" si="6"/>
        <v/>
      </c>
      <c r="O30" s="915" t="s">
        <v>739</v>
      </c>
      <c r="P30" s="915" t="s">
        <v>730</v>
      </c>
      <c r="Q30" s="915" t="s">
        <v>739</v>
      </c>
      <c r="R30" s="915" t="s">
        <v>730</v>
      </c>
      <c r="S30" s="915"/>
      <c r="T30" s="916" t="s">
        <v>2067</v>
      </c>
      <c r="U30" s="889" t="s">
        <v>2067</v>
      </c>
      <c r="V30" s="889" t="s">
        <v>2067</v>
      </c>
      <c r="W30" s="889" t="s">
        <v>2067</v>
      </c>
      <c r="X30" s="900"/>
      <c r="Y30" s="904"/>
      <c r="Z30" s="889"/>
      <c r="AA30" s="896" t="s">
        <v>2068</v>
      </c>
      <c r="AB30" s="896" t="s">
        <v>2068</v>
      </c>
      <c r="AC30" s="896" t="s">
        <v>2068</v>
      </c>
      <c r="AD30" s="889"/>
    </row>
    <row r="31" spans="1:30" ht="18" customHeight="1">
      <c r="A31" s="902"/>
      <c r="B31" s="905">
        <v>14</v>
      </c>
      <c r="C31" s="900" t="s">
        <v>2069</v>
      </c>
      <c r="D31" s="912"/>
      <c r="E31" s="900"/>
      <c r="F31" s="900"/>
      <c r="G31" s="917"/>
      <c r="H31" s="918"/>
      <c r="I31" s="914" t="str">
        <f t="shared" si="1"/>
        <v>2.6.1</v>
      </c>
      <c r="J31" s="914" t="str">
        <f t="shared" si="2"/>
        <v>Расходы на оплату труда основного производственного персонала</v>
      </c>
      <c r="K31" s="914">
        <f t="shared" si="3"/>
        <v>0</v>
      </c>
      <c r="L31" s="903" t="str">
        <f t="shared" si="4"/>
        <v>2.6.1</v>
      </c>
      <c r="M31" s="903" t="str">
        <f t="shared" si="5"/>
        <v>Расходы на оплату труда основного производственного персонала</v>
      </c>
      <c r="N31" s="903" t="str">
        <f t="shared" si="6"/>
        <v/>
      </c>
      <c r="O31" s="915" t="s">
        <v>2070</v>
      </c>
      <c r="P31" s="915" t="s">
        <v>733</v>
      </c>
      <c r="Q31" s="915" t="s">
        <v>2070</v>
      </c>
      <c r="R31" s="915" t="s">
        <v>733</v>
      </c>
      <c r="S31" s="915"/>
      <c r="T31" s="919" t="s">
        <v>2071</v>
      </c>
      <c r="U31" s="889" t="s">
        <v>2071</v>
      </c>
      <c r="V31" s="889" t="s">
        <v>2071</v>
      </c>
      <c r="W31" s="889" t="s">
        <v>2071</v>
      </c>
      <c r="X31" s="900"/>
      <c r="Y31" s="904"/>
      <c r="Z31" s="889"/>
      <c r="AA31" s="896"/>
      <c r="AB31" s="896"/>
      <c r="AC31" s="896"/>
      <c r="AD31" s="889"/>
    </row>
    <row r="32" spans="1:30" ht="36" customHeight="1">
      <c r="A32" s="902"/>
      <c r="B32" s="905">
        <v>15</v>
      </c>
      <c r="C32" s="900" t="s">
        <v>2072</v>
      </c>
      <c r="D32" s="912"/>
      <c r="E32" s="900"/>
      <c r="F32" s="900"/>
      <c r="G32" s="917"/>
      <c r="H32" s="918"/>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903" t="str">
        <f t="shared" si="4"/>
        <v>2.6.2</v>
      </c>
      <c r="M32" s="903" t="str">
        <f t="shared" si="5"/>
        <v>Страховые взносы на обязательное социальное страхование, выплачиваемые из фонда оплаты труда основного производственного персонала</v>
      </c>
      <c r="N32" s="903" t="str">
        <f t="shared" si="6"/>
        <v/>
      </c>
      <c r="O32" s="915" t="s">
        <v>2073</v>
      </c>
      <c r="P32" s="915" t="s">
        <v>735</v>
      </c>
      <c r="Q32" s="915" t="s">
        <v>2073</v>
      </c>
      <c r="R32" s="915" t="s">
        <v>735</v>
      </c>
      <c r="S32" s="915"/>
      <c r="T32" s="92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89" t="s">
        <v>2074</v>
      </c>
      <c r="V32" s="889" t="s">
        <v>2074</v>
      </c>
      <c r="W32" s="889" t="s">
        <v>2074</v>
      </c>
      <c r="X32" s="900"/>
      <c r="Y32" s="904"/>
      <c r="Z32" s="889"/>
      <c r="AA32" s="896"/>
      <c r="AB32" s="896"/>
      <c r="AC32" s="896"/>
      <c r="AD32" s="889"/>
    </row>
    <row r="33" spans="1:30" ht="45" customHeight="1">
      <c r="A33" s="902"/>
      <c r="B33" s="905">
        <v>16</v>
      </c>
      <c r="C33" s="900">
        <v>10</v>
      </c>
      <c r="D33" s="912"/>
      <c r="E33" s="900"/>
      <c r="F33" s="900"/>
      <c r="G33" s="917"/>
      <c r="H33" s="918"/>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903" t="str">
        <f t="shared" si="4"/>
        <v>2.7</v>
      </c>
      <c r="M33" s="90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3" t="str">
        <f t="shared" si="6"/>
        <v/>
      </c>
      <c r="O33" s="915" t="s">
        <v>741</v>
      </c>
      <c r="P33" s="915" t="s">
        <v>737</v>
      </c>
      <c r="Q33" s="915" t="s">
        <v>741</v>
      </c>
      <c r="R33" s="915" t="s">
        <v>737</v>
      </c>
      <c r="S33" s="915"/>
      <c r="T33" s="91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89" t="s">
        <v>2075</v>
      </c>
      <c r="V33" s="889" t="s">
        <v>2075</v>
      </c>
      <c r="W33" s="889" t="s">
        <v>2076</v>
      </c>
      <c r="X33" s="900"/>
      <c r="Y33" s="904"/>
      <c r="Z33" s="889"/>
      <c r="AA33" s="896" t="s">
        <v>2077</v>
      </c>
      <c r="AB33" s="896" t="s">
        <v>2077</v>
      </c>
      <c r="AC33" s="896" t="s">
        <v>2077</v>
      </c>
      <c r="AD33" s="889"/>
    </row>
    <row r="34" spans="1:30" ht="27" customHeight="1">
      <c r="A34" s="902"/>
      <c r="B34" s="905">
        <v>17</v>
      </c>
      <c r="C34" s="900" t="s">
        <v>2078</v>
      </c>
      <c r="D34" s="912"/>
      <c r="E34" s="900"/>
      <c r="F34" s="900"/>
      <c r="G34" s="917"/>
      <c r="H34" s="918"/>
      <c r="I34" s="914" t="str">
        <f t="shared" si="1"/>
        <v>2.7.1</v>
      </c>
      <c r="J34" s="914" t="str">
        <f t="shared" si="2"/>
        <v>Расходы на оплату труда административно-управленческого персонала</v>
      </c>
      <c r="K34" s="914">
        <f t="shared" si="3"/>
        <v>0</v>
      </c>
      <c r="L34" s="903" t="str">
        <f t="shared" si="4"/>
        <v>2.7.1</v>
      </c>
      <c r="M34" s="903" t="str">
        <f t="shared" si="5"/>
        <v>Расходы на оплату труда административно-управленческого персонала</v>
      </c>
      <c r="N34" s="903" t="str">
        <f t="shared" si="6"/>
        <v/>
      </c>
      <c r="O34" s="915" t="s">
        <v>2079</v>
      </c>
      <c r="P34" s="915" t="s">
        <v>2061</v>
      </c>
      <c r="Q34" s="915" t="s">
        <v>2079</v>
      </c>
      <c r="R34" s="915" t="s">
        <v>2061</v>
      </c>
      <c r="S34" s="915"/>
      <c r="T34" s="920" t="s">
        <v>2080</v>
      </c>
      <c r="U34" s="889" t="s">
        <v>2080</v>
      </c>
      <c r="V34" s="889" t="s">
        <v>2080</v>
      </c>
      <c r="W34" s="889" t="s">
        <v>2081</v>
      </c>
      <c r="X34" s="900"/>
      <c r="Y34" s="904"/>
      <c r="Z34" s="889"/>
      <c r="AA34" s="896"/>
      <c r="AB34" s="889"/>
      <c r="AC34" s="889"/>
      <c r="AD34" s="889"/>
    </row>
    <row r="35" spans="1:30" ht="45" customHeight="1">
      <c r="A35" s="902"/>
      <c r="B35" s="905">
        <v>18</v>
      </c>
      <c r="C35" s="900" t="s">
        <v>2082</v>
      </c>
      <c r="D35" s="912"/>
      <c r="E35" s="900"/>
      <c r="F35" s="900"/>
      <c r="G35" s="917"/>
      <c r="H35" s="918"/>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903" t="str">
        <f t="shared" si="4"/>
        <v>2.7.2</v>
      </c>
      <c r="M35" s="90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903" t="str">
        <f t="shared" si="6"/>
        <v/>
      </c>
      <c r="O35" s="915" t="s">
        <v>2083</v>
      </c>
      <c r="P35" s="915" t="s">
        <v>2063</v>
      </c>
      <c r="Q35" s="915" t="s">
        <v>2083</v>
      </c>
      <c r="R35" s="915" t="s">
        <v>2063</v>
      </c>
      <c r="S35" s="915"/>
      <c r="T35" s="91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89" t="s">
        <v>2084</v>
      </c>
      <c r="V35" s="889" t="s">
        <v>2084</v>
      </c>
      <c r="W35" s="889" t="s">
        <v>2084</v>
      </c>
      <c r="X35" s="900"/>
      <c r="Y35" s="904"/>
      <c r="Z35" s="889"/>
      <c r="AA35" s="896"/>
      <c r="AB35" s="889"/>
      <c r="AC35" s="889"/>
      <c r="AD35" s="889"/>
    </row>
    <row r="36" spans="1:30" ht="18" customHeight="1">
      <c r="A36" s="902"/>
      <c r="B36" s="905">
        <v>19</v>
      </c>
      <c r="C36" s="900">
        <v>11</v>
      </c>
      <c r="D36" s="912"/>
      <c r="E36" s="900"/>
      <c r="F36" s="900"/>
      <c r="G36" s="917"/>
      <c r="H36" s="918"/>
      <c r="I36" s="914" t="str">
        <f t="shared" si="1"/>
        <v>2.8</v>
      </c>
      <c r="J36" s="914" t="str">
        <f t="shared" si="2"/>
        <v>Расходы на амортизацию основных средств и нематериальных активов</v>
      </c>
      <c r="K36" s="914">
        <f t="shared" si="3"/>
        <v>0</v>
      </c>
      <c r="L36" s="903" t="str">
        <f t="shared" si="4"/>
        <v>2.8</v>
      </c>
      <c r="M36" s="903" t="str">
        <f t="shared" si="5"/>
        <v>Расходы на амортизацию основных средств и нематериальных активов</v>
      </c>
      <c r="N36" s="903" t="str">
        <f t="shared" si="6"/>
        <v/>
      </c>
      <c r="O36" s="915" t="s">
        <v>743</v>
      </c>
      <c r="P36" s="915" t="s">
        <v>739</v>
      </c>
      <c r="Q36" s="915" t="s">
        <v>743</v>
      </c>
      <c r="R36" s="915" t="s">
        <v>739</v>
      </c>
      <c r="S36" s="915"/>
      <c r="T36" s="916" t="s">
        <v>2085</v>
      </c>
      <c r="U36" s="889" t="s">
        <v>2085</v>
      </c>
      <c r="V36" s="889" t="s">
        <v>2085</v>
      </c>
      <c r="W36" s="889" t="s">
        <v>2085</v>
      </c>
      <c r="X36" s="900"/>
      <c r="Y36" s="904"/>
      <c r="Z36" s="889"/>
      <c r="AA36" s="896"/>
      <c r="AB36" s="889"/>
      <c r="AC36" s="889"/>
      <c r="AD36" s="889"/>
    </row>
    <row r="37" spans="1:30" ht="18" customHeight="1">
      <c r="A37" s="902"/>
      <c r="B37" s="905">
        <v>20</v>
      </c>
      <c r="C37" s="900" t="s">
        <v>2086</v>
      </c>
      <c r="D37" s="912"/>
      <c r="E37" s="900"/>
      <c r="F37" s="900"/>
      <c r="G37" s="917"/>
      <c r="H37" s="918"/>
      <c r="I37" s="914" t="str">
        <f t="shared" si="1"/>
        <v>2.8.1</v>
      </c>
      <c r="J37" s="914" t="str">
        <f t="shared" si="2"/>
        <v>Расходы на амортизацию основных средств</v>
      </c>
      <c r="K37" s="914">
        <f t="shared" si="3"/>
        <v>0</v>
      </c>
      <c r="L37" s="903" t="str">
        <f t="shared" si="4"/>
        <v>2.8.1</v>
      </c>
      <c r="M37" s="903" t="str">
        <f t="shared" si="5"/>
        <v>Расходы на амортизацию основных средств</v>
      </c>
      <c r="N37" s="903" t="str">
        <f t="shared" si="6"/>
        <v/>
      </c>
      <c r="O37" s="915" t="s">
        <v>2087</v>
      </c>
      <c r="P37" s="915" t="s">
        <v>2070</v>
      </c>
      <c r="Q37" s="915" t="s">
        <v>2087</v>
      </c>
      <c r="R37" s="915" t="s">
        <v>2070</v>
      </c>
      <c r="S37" s="915"/>
      <c r="T37" s="916" t="s">
        <v>2088</v>
      </c>
      <c r="U37" s="889" t="s">
        <v>2088</v>
      </c>
      <c r="V37" s="889" t="s">
        <v>2088</v>
      </c>
      <c r="W37" s="889" t="s">
        <v>2088</v>
      </c>
      <c r="X37" s="900"/>
      <c r="Y37" s="904"/>
      <c r="Z37" s="889"/>
      <c r="AA37" s="896"/>
      <c r="AB37" s="889"/>
      <c r="AC37" s="889"/>
      <c r="AD37" s="889"/>
    </row>
    <row r="38" spans="1:30" ht="18" customHeight="1">
      <c r="A38" s="902"/>
      <c r="B38" s="905">
        <v>21</v>
      </c>
      <c r="C38" s="900" t="s">
        <v>2089</v>
      </c>
      <c r="D38" s="912"/>
      <c r="E38" s="900"/>
      <c r="F38" s="900"/>
      <c r="G38" s="917"/>
      <c r="H38" s="918"/>
      <c r="I38" s="914" t="str">
        <f t="shared" si="1"/>
        <v>2.8.2</v>
      </c>
      <c r="J38" s="914" t="str">
        <f t="shared" si="2"/>
        <v>Расходы на амортизацию нематериальных активов</v>
      </c>
      <c r="K38" s="914">
        <f t="shared" si="3"/>
        <v>0</v>
      </c>
      <c r="L38" s="903" t="str">
        <f t="shared" si="4"/>
        <v>2.8.2</v>
      </c>
      <c r="M38" s="903" t="str">
        <f t="shared" si="5"/>
        <v>Расходы на амортизацию нематериальных активов</v>
      </c>
      <c r="N38" s="903" t="str">
        <f t="shared" si="6"/>
        <v/>
      </c>
      <c r="O38" s="915" t="s">
        <v>2090</v>
      </c>
      <c r="P38" s="915" t="s">
        <v>2073</v>
      </c>
      <c r="Q38" s="915" t="s">
        <v>2090</v>
      </c>
      <c r="R38" s="915" t="s">
        <v>2073</v>
      </c>
      <c r="S38" s="915"/>
      <c r="T38" s="916" t="s">
        <v>2091</v>
      </c>
      <c r="U38" s="889" t="s">
        <v>2091</v>
      </c>
      <c r="V38" s="889" t="s">
        <v>2091</v>
      </c>
      <c r="W38" s="889" t="s">
        <v>2091</v>
      </c>
      <c r="X38" s="900"/>
      <c r="Y38" s="904"/>
      <c r="Z38" s="889"/>
      <c r="AA38" s="896"/>
      <c r="AB38" s="889"/>
      <c r="AC38" s="889"/>
      <c r="AD38" s="889"/>
    </row>
    <row r="39" spans="1:30" ht="36" customHeight="1">
      <c r="A39" s="902"/>
      <c r="B39" s="905">
        <v>22</v>
      </c>
      <c r="C39" s="900">
        <v>12</v>
      </c>
      <c r="D39" s="912"/>
      <c r="E39" s="900"/>
      <c r="F39" s="900"/>
      <c r="G39" s="917"/>
      <c r="H39" s="918"/>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903" t="str">
        <f t="shared" si="4"/>
        <v>2.9</v>
      </c>
      <c r="M39" s="903" t="str">
        <f t="shared" si="5"/>
        <v>Расходы на аренду имущества, используемого для осуществления регулируемого вида деятельности</v>
      </c>
      <c r="N39" s="903" t="str">
        <f t="shared" si="6"/>
        <v/>
      </c>
      <c r="O39" s="915" t="s">
        <v>747</v>
      </c>
      <c r="P39" s="915" t="s">
        <v>741</v>
      </c>
      <c r="Q39" s="915" t="s">
        <v>747</v>
      </c>
      <c r="R39" s="915" t="s">
        <v>741</v>
      </c>
      <c r="S39" s="915"/>
      <c r="T39" s="916" t="s">
        <v>2092</v>
      </c>
      <c r="U39" s="889" t="s">
        <v>2093</v>
      </c>
      <c r="V39" s="889" t="s">
        <v>2094</v>
      </c>
      <c r="W39" s="889" t="s">
        <v>2095</v>
      </c>
      <c r="X39" s="900"/>
      <c r="Y39" s="904"/>
      <c r="Z39" s="889"/>
      <c r="AA39" s="896"/>
      <c r="AB39" s="889"/>
      <c r="AC39" s="889"/>
      <c r="AD39" s="889"/>
    </row>
    <row r="40" spans="1:30" ht="18" customHeight="1">
      <c r="A40" s="902"/>
      <c r="B40" s="905">
        <v>23</v>
      </c>
      <c r="C40" s="900">
        <v>13</v>
      </c>
      <c r="D40" s="912"/>
      <c r="E40" s="900"/>
      <c r="F40" s="900"/>
      <c r="G40" s="900"/>
      <c r="H40" s="921"/>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903" t="str">
        <f t="shared" si="4"/>
        <v>2.10</v>
      </c>
      <c r="M40" s="903" t="str">
        <f t="shared" si="5"/>
        <v>Общепроизводственные расходы, в том числе:</v>
      </c>
      <c r="N40" s="903" t="str">
        <f t="shared" si="6"/>
        <v>Указывается общая сумма общепроизводственных расходов.</v>
      </c>
      <c r="O40" s="915" t="s">
        <v>2096</v>
      </c>
      <c r="P40" s="915" t="s">
        <v>743</v>
      </c>
      <c r="Q40" s="915" t="s">
        <v>2096</v>
      </c>
      <c r="R40" s="915" t="s">
        <v>743</v>
      </c>
      <c r="S40" s="915"/>
      <c r="T40" s="900" t="s">
        <v>2097</v>
      </c>
      <c r="U40" s="900" t="s">
        <v>2097</v>
      </c>
      <c r="V40" s="900" t="s">
        <v>2097</v>
      </c>
      <c r="W40" s="900" t="s">
        <v>2097</v>
      </c>
      <c r="X40" s="900"/>
      <c r="Y40" s="904"/>
      <c r="Z40" s="889" t="s">
        <v>2098</v>
      </c>
      <c r="AA40" s="896" t="s">
        <v>2098</v>
      </c>
      <c r="AB40" s="896" t="s">
        <v>2098</v>
      </c>
      <c r="AC40" s="896" t="s">
        <v>2098</v>
      </c>
      <c r="AD40" s="889"/>
    </row>
    <row r="41" spans="1:30" ht="27" customHeight="1">
      <c r="A41" s="902"/>
      <c r="B41" s="905">
        <v>24</v>
      </c>
      <c r="C41" s="900" t="s">
        <v>2099</v>
      </c>
      <c r="D41" s="912"/>
      <c r="E41" s="900"/>
      <c r="F41" s="900"/>
      <c r="G41" s="900"/>
      <c r="H41" s="917"/>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903" t="str">
        <f t="shared" si="4"/>
        <v>2.10.1</v>
      </c>
      <c r="M41" s="903" t="str">
        <f t="shared" si="5"/>
        <v>Расходы на текущий ремонт</v>
      </c>
      <c r="N41" s="903" t="str">
        <f t="shared" si="6"/>
        <v>Указываются расходы на текущий ремонт, отнесенные к общепроизводственным расходам.</v>
      </c>
      <c r="O41" s="915" t="s">
        <v>2100</v>
      </c>
      <c r="P41" s="915" t="s">
        <v>2087</v>
      </c>
      <c r="Q41" s="915" t="s">
        <v>2100</v>
      </c>
      <c r="R41" s="915" t="s">
        <v>2087</v>
      </c>
      <c r="S41" s="915"/>
      <c r="T41" s="900" t="s">
        <v>2101</v>
      </c>
      <c r="U41" s="900" t="s">
        <v>2101</v>
      </c>
      <c r="V41" s="900" t="s">
        <v>2101</v>
      </c>
      <c r="W41" s="900" t="s">
        <v>2101</v>
      </c>
      <c r="X41" s="900"/>
      <c r="Y41" s="904"/>
      <c r="Z41" s="889" t="s">
        <v>2102</v>
      </c>
      <c r="AA41" s="889" t="s">
        <v>2102</v>
      </c>
      <c r="AB41" s="889" t="s">
        <v>2102</v>
      </c>
      <c r="AC41" s="889" t="s">
        <v>2102</v>
      </c>
      <c r="AD41" s="889"/>
    </row>
    <row r="42" spans="1:30" ht="27" customHeight="1">
      <c r="A42" s="902"/>
      <c r="B42" s="905">
        <v>25</v>
      </c>
      <c r="C42" s="900" t="s">
        <v>2103</v>
      </c>
      <c r="D42" s="912"/>
      <c r="E42" s="900"/>
      <c r="F42" s="900"/>
      <c r="G42" s="900"/>
      <c r="H42" s="917"/>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903" t="str">
        <f t="shared" si="4"/>
        <v>2.10.2</v>
      </c>
      <c r="M42" s="903" t="str">
        <f t="shared" si="5"/>
        <v>Расходы на капитальный ремонт</v>
      </c>
      <c r="N42" s="903" t="str">
        <f t="shared" si="6"/>
        <v>Указываются расходы на капитальный ремонт, отнесенные к общепроизводственным расходам.</v>
      </c>
      <c r="O42" s="915" t="s">
        <v>2104</v>
      </c>
      <c r="P42" s="915" t="s">
        <v>2090</v>
      </c>
      <c r="Q42" s="915" t="s">
        <v>2104</v>
      </c>
      <c r="R42" s="915" t="s">
        <v>2090</v>
      </c>
      <c r="S42" s="915"/>
      <c r="T42" s="900" t="s">
        <v>2105</v>
      </c>
      <c r="U42" s="900" t="s">
        <v>2105</v>
      </c>
      <c r="V42" s="900" t="s">
        <v>2105</v>
      </c>
      <c r="W42" s="900" t="s">
        <v>2105</v>
      </c>
      <c r="X42" s="900"/>
      <c r="Y42" s="904"/>
      <c r="Z42" s="889" t="s">
        <v>2106</v>
      </c>
      <c r="AA42" s="889" t="s">
        <v>2106</v>
      </c>
      <c r="AB42" s="889" t="s">
        <v>2106</v>
      </c>
      <c r="AC42" s="889" t="s">
        <v>2106</v>
      </c>
      <c r="AD42" s="889"/>
    </row>
    <row r="43" spans="1:30" ht="18" customHeight="1">
      <c r="A43" s="902"/>
      <c r="B43" s="905">
        <v>26</v>
      </c>
      <c r="C43" s="900">
        <v>14</v>
      </c>
      <c r="D43" s="912"/>
      <c r="E43" s="900"/>
      <c r="F43" s="900"/>
      <c r="G43" s="900"/>
      <c r="H43" s="917"/>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903" t="str">
        <f t="shared" si="4"/>
        <v>2.11</v>
      </c>
      <c r="M43" s="903" t="str">
        <f t="shared" si="5"/>
        <v>Общехозяйственные расходы, в том числе:</v>
      </c>
      <c r="N43" s="903" t="str">
        <f t="shared" si="6"/>
        <v>Указывается общая сумма общехозяйственных расходов.</v>
      </c>
      <c r="O43" s="915" t="s">
        <v>2107</v>
      </c>
      <c r="P43" s="915" t="s">
        <v>747</v>
      </c>
      <c r="Q43" s="915" t="s">
        <v>2107</v>
      </c>
      <c r="R43" s="915" t="s">
        <v>747</v>
      </c>
      <c r="S43" s="915"/>
      <c r="T43" s="900" t="s">
        <v>2108</v>
      </c>
      <c r="U43" s="900" t="s">
        <v>2108</v>
      </c>
      <c r="V43" s="900" t="s">
        <v>2108</v>
      </c>
      <c r="W43" s="900" t="s">
        <v>2108</v>
      </c>
      <c r="X43" s="900"/>
      <c r="Y43" s="904"/>
      <c r="Z43" s="889" t="s">
        <v>2109</v>
      </c>
      <c r="AA43" s="889" t="s">
        <v>2109</v>
      </c>
      <c r="AB43" s="889" t="s">
        <v>2109</v>
      </c>
      <c r="AC43" s="889" t="s">
        <v>2109</v>
      </c>
      <c r="AD43" s="889"/>
    </row>
    <row r="44" spans="1:30" ht="27" customHeight="1">
      <c r="A44" s="902"/>
      <c r="B44" s="905">
        <v>27</v>
      </c>
      <c r="C44" s="900" t="s">
        <v>2110</v>
      </c>
      <c r="D44" s="912"/>
      <c r="E44" s="900"/>
      <c r="F44" s="900"/>
      <c r="G44" s="900"/>
      <c r="H44" s="917"/>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903" t="str">
        <f t="shared" si="4"/>
        <v>2.11.1</v>
      </c>
      <c r="M44" s="903" t="str">
        <f t="shared" si="5"/>
        <v>Расходы на текущий ремонт</v>
      </c>
      <c r="N44" s="903" t="str">
        <f t="shared" si="6"/>
        <v>Указываются расходы на текущий ремонт, отнесенные к общехозяйственным расходам.</v>
      </c>
      <c r="O44" s="915" t="s">
        <v>2111</v>
      </c>
      <c r="P44" s="915" t="s">
        <v>2112</v>
      </c>
      <c r="Q44" s="915" t="s">
        <v>2111</v>
      </c>
      <c r="R44" s="915" t="s">
        <v>2112</v>
      </c>
      <c r="S44" s="915"/>
      <c r="T44" s="900" t="s">
        <v>2101</v>
      </c>
      <c r="U44" s="900" t="s">
        <v>2101</v>
      </c>
      <c r="V44" s="900" t="s">
        <v>2101</v>
      </c>
      <c r="W44" s="900" t="s">
        <v>2101</v>
      </c>
      <c r="X44" s="900"/>
      <c r="Y44" s="904"/>
      <c r="Z44" s="889" t="s">
        <v>2113</v>
      </c>
      <c r="AA44" s="889" t="s">
        <v>2113</v>
      </c>
      <c r="AB44" s="889" t="s">
        <v>2113</v>
      </c>
      <c r="AC44" s="889" t="s">
        <v>2113</v>
      </c>
      <c r="AD44" s="889"/>
    </row>
    <row r="45" spans="1:30" ht="27" customHeight="1">
      <c r="A45" s="902"/>
      <c r="B45" s="905">
        <v>28</v>
      </c>
      <c r="C45" s="900" t="s">
        <v>2114</v>
      </c>
      <c r="D45" s="912"/>
      <c r="E45" s="900"/>
      <c r="F45" s="900"/>
      <c r="G45" s="900"/>
      <c r="H45" s="917"/>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903" t="str">
        <f t="shared" si="4"/>
        <v>2.11.2</v>
      </c>
      <c r="M45" s="903" t="str">
        <f t="shared" si="5"/>
        <v>Расходы на капитальный ремонт</v>
      </c>
      <c r="N45" s="903" t="str">
        <f t="shared" si="6"/>
        <v>Указываются расходы на капитальный ремонт, отнесенные к общехозяйственным расходам.</v>
      </c>
      <c r="O45" s="915" t="s">
        <v>2115</v>
      </c>
      <c r="P45" s="915" t="s">
        <v>2116</v>
      </c>
      <c r="Q45" s="915" t="s">
        <v>2115</v>
      </c>
      <c r="R45" s="915" t="s">
        <v>2116</v>
      </c>
      <c r="S45" s="915"/>
      <c r="T45" s="900" t="s">
        <v>2105</v>
      </c>
      <c r="U45" s="900" t="s">
        <v>2105</v>
      </c>
      <c r="V45" s="900" t="s">
        <v>2105</v>
      </c>
      <c r="W45" s="900" t="s">
        <v>2105</v>
      </c>
      <c r="X45" s="900"/>
      <c r="Y45" s="904"/>
      <c r="Z45" s="889" t="s">
        <v>2117</v>
      </c>
      <c r="AA45" s="889" t="s">
        <v>2117</v>
      </c>
      <c r="AB45" s="889" t="s">
        <v>2117</v>
      </c>
      <c r="AC45" s="889" t="s">
        <v>2117</v>
      </c>
      <c r="AD45" s="889"/>
    </row>
    <row r="46" spans="1:30" ht="54" customHeight="1">
      <c r="A46" s="902"/>
      <c r="B46" s="905">
        <v>29</v>
      </c>
      <c r="C46" s="900">
        <v>15</v>
      </c>
      <c r="D46" s="912"/>
      <c r="E46" s="900"/>
      <c r="F46" s="900"/>
      <c r="G46" s="900"/>
      <c r="H46" s="917"/>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3" t="str">
        <f t="shared" si="4"/>
        <v>2.12</v>
      </c>
      <c r="M46" s="903" t="str">
        <f t="shared" si="5"/>
        <v>Расходы на капитальный и текущий ремонт основных средств</v>
      </c>
      <c r="N46" s="90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15" t="s">
        <v>2118</v>
      </c>
      <c r="P46" s="915" t="s">
        <v>2096</v>
      </c>
      <c r="Q46" s="915" t="s">
        <v>2118</v>
      </c>
      <c r="R46" s="915" t="s">
        <v>2096</v>
      </c>
      <c r="S46" s="915"/>
      <c r="T46" s="90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0" t="s">
        <v>2119</v>
      </c>
      <c r="V46" s="900" t="s">
        <v>2119</v>
      </c>
      <c r="W46" s="900" t="s">
        <v>2119</v>
      </c>
      <c r="X46" s="900"/>
      <c r="Y46" s="904"/>
      <c r="Z46" s="889" t="s">
        <v>2120</v>
      </c>
      <c r="AA46" s="889" t="s">
        <v>2121</v>
      </c>
      <c r="AB46" s="889" t="s">
        <v>2121</v>
      </c>
      <c r="AC46" s="889" t="s">
        <v>2121</v>
      </c>
      <c r="AD46" s="889"/>
    </row>
    <row r="47" spans="1:30" ht="54" customHeight="1">
      <c r="A47" s="902"/>
      <c r="B47" s="905">
        <v>30</v>
      </c>
      <c r="C47" s="900" t="s">
        <v>2122</v>
      </c>
      <c r="D47" s="912"/>
      <c r="E47" s="900"/>
      <c r="F47" s="900"/>
      <c r="G47" s="900"/>
      <c r="H47" s="917"/>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903" t="str">
        <f t="shared" si="4"/>
        <v>2.12.1</v>
      </c>
      <c r="M47" s="90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3" t="str">
        <f t="shared" si="6"/>
        <v/>
      </c>
      <c r="O47" s="915" t="s">
        <v>2123</v>
      </c>
      <c r="P47" s="915" t="s">
        <v>2100</v>
      </c>
      <c r="Q47" s="915" t="s">
        <v>2123</v>
      </c>
      <c r="R47" s="915" t="s">
        <v>2100</v>
      </c>
      <c r="S47" s="915"/>
      <c r="T47" s="900" t="s">
        <v>2124</v>
      </c>
      <c r="U47" s="900" t="s">
        <v>2124</v>
      </c>
      <c r="V47" s="900" t="s">
        <v>2124</v>
      </c>
      <c r="W47" s="900" t="s">
        <v>2124</v>
      </c>
      <c r="X47" s="900"/>
      <c r="Y47" s="904"/>
      <c r="Z47" s="889"/>
      <c r="AA47" s="896"/>
      <c r="AB47" s="896"/>
      <c r="AC47" s="896"/>
      <c r="AD47" s="889"/>
    </row>
    <row r="48" spans="1:30" ht="54" customHeight="1">
      <c r="A48" s="902"/>
      <c r="B48" s="905">
        <v>31</v>
      </c>
      <c r="C48" s="900">
        <v>16</v>
      </c>
      <c r="D48" s="912"/>
      <c r="E48" s="900"/>
      <c r="F48" s="900"/>
      <c r="G48" s="900"/>
      <c r="H48" s="917"/>
      <c r="I48" s="914">
        <f t="shared" si="1"/>
        <v>0</v>
      </c>
      <c r="J48" s="914">
        <f t="shared" si="2"/>
        <v>0</v>
      </c>
      <c r="K48" s="914">
        <f t="shared" si="3"/>
        <v>0</v>
      </c>
      <c r="L48" s="903" t="str">
        <f t="shared" si="4"/>
        <v/>
      </c>
      <c r="M48" s="903" t="str">
        <f t="shared" si="5"/>
        <v/>
      </c>
      <c r="N48" s="903" t="str">
        <f t="shared" si="6"/>
        <v/>
      </c>
      <c r="O48" s="915"/>
      <c r="P48" s="915" t="s">
        <v>2107</v>
      </c>
      <c r="Q48" s="915" t="s">
        <v>2125</v>
      </c>
      <c r="R48" s="915" t="s">
        <v>2107</v>
      </c>
      <c r="S48" s="915"/>
      <c r="T48" s="900"/>
      <c r="U48" s="900" t="s">
        <v>2126</v>
      </c>
      <c r="V48" s="900" t="s">
        <v>2127</v>
      </c>
      <c r="W48" s="900" t="s">
        <v>2127</v>
      </c>
      <c r="X48" s="900"/>
      <c r="Y48" s="904"/>
      <c r="Z48" s="889"/>
      <c r="AA48" s="896" t="s">
        <v>2121</v>
      </c>
      <c r="AB48" s="896" t="s">
        <v>2121</v>
      </c>
      <c r="AC48" s="896" t="s">
        <v>2121</v>
      </c>
      <c r="AD48" s="889"/>
    </row>
    <row r="49" spans="1:30" ht="54" customHeight="1">
      <c r="A49" s="902"/>
      <c r="B49" s="905">
        <v>32</v>
      </c>
      <c r="C49" s="900" t="s">
        <v>2128</v>
      </c>
      <c r="D49" s="912"/>
      <c r="E49" s="900"/>
      <c r="F49" s="900"/>
      <c r="G49" s="900"/>
      <c r="H49" s="917"/>
      <c r="I49" s="914">
        <f t="shared" si="1"/>
        <v>0</v>
      </c>
      <c r="J49" s="914">
        <f t="shared" si="2"/>
        <v>0</v>
      </c>
      <c r="K49" s="914">
        <f t="shared" si="3"/>
        <v>0</v>
      </c>
      <c r="L49" s="903" t="str">
        <f t="shared" si="4"/>
        <v/>
      </c>
      <c r="M49" s="903" t="str">
        <f t="shared" si="5"/>
        <v/>
      </c>
      <c r="N49" s="903" t="str">
        <f t="shared" si="6"/>
        <v/>
      </c>
      <c r="O49" s="915"/>
      <c r="P49" s="915" t="s">
        <v>2111</v>
      </c>
      <c r="Q49" s="915" t="s">
        <v>2129</v>
      </c>
      <c r="R49" s="915" t="s">
        <v>2111</v>
      </c>
      <c r="S49" s="915"/>
      <c r="T49" s="900"/>
      <c r="U49" s="900" t="s">
        <v>2124</v>
      </c>
      <c r="V49" s="900" t="s">
        <v>2124</v>
      </c>
      <c r="W49" s="900" t="s">
        <v>2124</v>
      </c>
      <c r="X49" s="900"/>
      <c r="Y49" s="904"/>
      <c r="Z49" s="889"/>
      <c r="AA49" s="896"/>
      <c r="AB49" s="896"/>
      <c r="AC49" s="896"/>
      <c r="AD49" s="889"/>
    </row>
    <row r="50" spans="1:30" ht="126" customHeight="1">
      <c r="A50" s="902"/>
      <c r="B50" s="905">
        <v>33</v>
      </c>
      <c r="C50" s="900">
        <v>17</v>
      </c>
      <c r="D50" s="912"/>
      <c r="E50" s="900"/>
      <c r="F50" s="900"/>
      <c r="G50" s="900"/>
      <c r="H50" s="917"/>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3" t="str">
        <f t="shared" ref="L50:L81" si="10">IF(I50=0,"",I50)</f>
        <v>2.13</v>
      </c>
      <c r="M50" s="90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90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15" t="s">
        <v>2125</v>
      </c>
      <c r="P50" s="915" t="s">
        <v>2118</v>
      </c>
      <c r="Q50" s="915" t="s">
        <v>2130</v>
      </c>
      <c r="R50" s="915" t="s">
        <v>2118</v>
      </c>
      <c r="S50" s="915"/>
      <c r="T50" s="900" t="s">
        <v>2131</v>
      </c>
      <c r="U50" s="900" t="s">
        <v>2132</v>
      </c>
      <c r="V50" s="900" t="s">
        <v>2133</v>
      </c>
      <c r="W50" s="900" t="s">
        <v>2134</v>
      </c>
      <c r="X50" s="900"/>
      <c r="Y50" s="904"/>
      <c r="Z50" s="889" t="s">
        <v>2135</v>
      </c>
      <c r="AA50" s="896" t="s">
        <v>2136</v>
      </c>
      <c r="AB50" s="896" t="s">
        <v>2136</v>
      </c>
      <c r="AC50" s="896" t="s">
        <v>2136</v>
      </c>
      <c r="AD50" s="889"/>
    </row>
    <row r="51" spans="1:30" ht="27" customHeight="1">
      <c r="A51" s="902"/>
      <c r="B51" s="905">
        <v>34</v>
      </c>
      <c r="C51" s="900" t="s">
        <v>2137</v>
      </c>
      <c r="D51" s="912"/>
      <c r="E51" s="900"/>
      <c r="F51" s="900"/>
      <c r="G51" s="900"/>
      <c r="H51" s="917"/>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903" t="str">
        <f t="shared" si="10"/>
        <v>3</v>
      </c>
      <c r="M51" s="903" t="str">
        <f t="shared" si="11"/>
        <v>Валовая прибыль (убытки) от реализации товаров и оказания услуг по регулируемому виду деятельности</v>
      </c>
      <c r="N51" s="903" t="str">
        <f t="shared" si="12"/>
        <v/>
      </c>
      <c r="O51" s="915" t="s">
        <v>90</v>
      </c>
      <c r="P51" s="915"/>
      <c r="Q51" s="915"/>
      <c r="R51" s="915"/>
      <c r="S51" s="915"/>
      <c r="T51" s="900" t="s">
        <v>2138</v>
      </c>
      <c r="U51" s="900"/>
      <c r="V51" s="900"/>
      <c r="W51" s="900"/>
      <c r="X51" s="900"/>
      <c r="Y51" s="904"/>
      <c r="Z51" s="889"/>
      <c r="AA51" s="896"/>
      <c r="AB51" s="896"/>
      <c r="AC51" s="896"/>
      <c r="AD51" s="889"/>
    </row>
    <row r="52" spans="1:30" ht="36" customHeight="1">
      <c r="A52" s="902"/>
      <c r="B52" s="905">
        <v>35</v>
      </c>
      <c r="C52" s="900" t="s">
        <v>2031</v>
      </c>
      <c r="D52" s="912" t="s">
        <v>2031</v>
      </c>
      <c r="E52" s="900" t="s">
        <v>2031</v>
      </c>
      <c r="F52" s="900" t="s">
        <v>2031</v>
      </c>
      <c r="G52" s="900"/>
      <c r="H52" s="917"/>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903" t="str">
        <f t="shared" si="10"/>
        <v>4</v>
      </c>
      <c r="M52" s="903" t="str">
        <f t="shared" si="11"/>
        <v>Чистая прибыль, полученная от регулируемого вида деятельности, в том числе:</v>
      </c>
      <c r="N52" s="903" t="str">
        <f t="shared" si="12"/>
        <v>Указывается общая сумма чистой прибыли, полученной от регулируемого вида деятельности.</v>
      </c>
      <c r="O52" s="915" t="s">
        <v>91</v>
      </c>
      <c r="P52" s="915" t="s">
        <v>90</v>
      </c>
      <c r="Q52" s="915" t="s">
        <v>90</v>
      </c>
      <c r="R52" s="915" t="s">
        <v>90</v>
      </c>
      <c r="S52" s="915"/>
      <c r="T52" s="900" t="s">
        <v>2139</v>
      </c>
      <c r="U52" s="900" t="s">
        <v>2140</v>
      </c>
      <c r="V52" s="900" t="s">
        <v>2141</v>
      </c>
      <c r="W52" s="900" t="s">
        <v>2142</v>
      </c>
      <c r="X52" s="900"/>
      <c r="Y52" s="904"/>
      <c r="Z52" s="889" t="s">
        <v>751</v>
      </c>
      <c r="AA52" s="896" t="s">
        <v>751</v>
      </c>
      <c r="AB52" s="896" t="s">
        <v>751</v>
      </c>
      <c r="AC52" s="896" t="s">
        <v>751</v>
      </c>
      <c r="AD52" s="889"/>
    </row>
    <row r="53" spans="1:30" ht="36" customHeight="1">
      <c r="A53" s="902"/>
      <c r="B53" s="905">
        <v>36</v>
      </c>
      <c r="C53" s="900">
        <v>1</v>
      </c>
      <c r="D53" s="912"/>
      <c r="E53" s="900"/>
      <c r="F53" s="900"/>
      <c r="G53" s="900"/>
      <c r="H53" s="917"/>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903" t="str">
        <f t="shared" si="10"/>
        <v>4.1</v>
      </c>
      <c r="M53" s="90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903" t="str">
        <f t="shared" si="12"/>
        <v/>
      </c>
      <c r="O53" s="915" t="s">
        <v>755</v>
      </c>
      <c r="P53" s="915" t="s">
        <v>325</v>
      </c>
      <c r="Q53" s="915" t="s">
        <v>325</v>
      </c>
      <c r="R53" s="915" t="s">
        <v>325</v>
      </c>
      <c r="S53" s="915"/>
      <c r="T53" s="900" t="s">
        <v>2143</v>
      </c>
      <c r="U53" s="900" t="s">
        <v>2143</v>
      </c>
      <c r="V53" s="900" t="s">
        <v>2143</v>
      </c>
      <c r="W53" s="900" t="s">
        <v>2143</v>
      </c>
      <c r="X53" s="900"/>
      <c r="Y53" s="904"/>
      <c r="Z53" s="889"/>
      <c r="AA53" s="896"/>
      <c r="AB53" s="889"/>
      <c r="AC53" s="889"/>
      <c r="AD53" s="889"/>
    </row>
    <row r="54" spans="1:30" ht="18" customHeight="1">
      <c r="A54" s="902"/>
      <c r="B54" s="905">
        <v>37</v>
      </c>
      <c r="C54" s="900" t="s">
        <v>2037</v>
      </c>
      <c r="D54" s="912" t="s">
        <v>2037</v>
      </c>
      <c r="E54" s="900" t="s">
        <v>2037</v>
      </c>
      <c r="F54" s="900" t="s">
        <v>2037</v>
      </c>
      <c r="G54" s="900"/>
      <c r="H54" s="917"/>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903" t="str">
        <f t="shared" si="10"/>
        <v>5</v>
      </c>
      <c r="M54" s="903" t="str">
        <f t="shared" si="11"/>
        <v>Изменение стоимости основных фондов, в том числе:</v>
      </c>
      <c r="N54" s="903" t="str">
        <f t="shared" si="12"/>
        <v>Указывается общее изменение стоимости основных фондов.</v>
      </c>
      <c r="O54" s="915" t="s">
        <v>112</v>
      </c>
      <c r="P54" s="915" t="s">
        <v>91</v>
      </c>
      <c r="Q54" s="915" t="s">
        <v>91</v>
      </c>
      <c r="R54" s="915" t="s">
        <v>91</v>
      </c>
      <c r="S54" s="915"/>
      <c r="T54" s="900" t="s">
        <v>753</v>
      </c>
      <c r="U54" s="900" t="s">
        <v>753</v>
      </c>
      <c r="V54" s="900" t="s">
        <v>753</v>
      </c>
      <c r="W54" s="900" t="s">
        <v>753</v>
      </c>
      <c r="X54" s="900"/>
      <c r="Y54" s="904"/>
      <c r="Z54" s="889" t="s">
        <v>754</v>
      </c>
      <c r="AA54" s="889" t="s">
        <v>754</v>
      </c>
      <c r="AB54" s="889" t="s">
        <v>754</v>
      </c>
      <c r="AC54" s="889" t="s">
        <v>754</v>
      </c>
      <c r="AD54" s="889"/>
    </row>
    <row r="55" spans="1:30" ht="36" customHeight="1">
      <c r="A55" s="902"/>
      <c r="B55" s="905">
        <v>38</v>
      </c>
      <c r="C55" s="900">
        <v>1</v>
      </c>
      <c r="D55" s="912"/>
      <c r="E55" s="900"/>
      <c r="F55" s="900"/>
      <c r="G55" s="900"/>
      <c r="H55" s="917"/>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903" t="str">
        <f t="shared" si="10"/>
        <v>5.1</v>
      </c>
      <c r="M55" s="903" t="str">
        <f t="shared" si="11"/>
        <v>Изменение стоимости основных фондов за счет:</v>
      </c>
      <c r="N55" s="903" t="str">
        <f t="shared" si="12"/>
        <v>Указываются общее изменение стоимости основных фондов за счет их ввода в эксплуатацию и вывода из эксплуатации.</v>
      </c>
      <c r="O55" s="915" t="s">
        <v>314</v>
      </c>
      <c r="P55" s="915" t="s">
        <v>755</v>
      </c>
      <c r="Q55" s="915" t="s">
        <v>755</v>
      </c>
      <c r="R55" s="915" t="s">
        <v>755</v>
      </c>
      <c r="S55" s="915"/>
      <c r="T55" s="90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0" t="s">
        <v>2144</v>
      </c>
      <c r="V55" s="900" t="s">
        <v>2144</v>
      </c>
      <c r="W55" s="900" t="s">
        <v>2144</v>
      </c>
      <c r="X55" s="900"/>
      <c r="Y55" s="904"/>
      <c r="Z55" s="889" t="s">
        <v>2145</v>
      </c>
      <c r="AA55" s="889" t="s">
        <v>2145</v>
      </c>
      <c r="AB55" s="889" t="s">
        <v>2145</v>
      </c>
      <c r="AC55" s="889" t="s">
        <v>2145</v>
      </c>
      <c r="AD55" s="889"/>
    </row>
    <row r="56" spans="1:30" ht="27" customHeight="1">
      <c r="A56" s="902"/>
      <c r="B56" s="905">
        <v>39</v>
      </c>
      <c r="C56" s="900" t="s">
        <v>1024</v>
      </c>
      <c r="D56" s="912"/>
      <c r="E56" s="900"/>
      <c r="F56" s="900"/>
      <c r="G56" s="900"/>
      <c r="H56" s="917"/>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903" t="str">
        <f t="shared" si="10"/>
        <v>5.1.1</v>
      </c>
      <c r="M56" s="903" t="str">
        <f t="shared" si="11"/>
        <v>Изменения стоимости основных фондов за счет их ввода в эксплуатацию</v>
      </c>
      <c r="N56" s="903" t="str">
        <f t="shared" si="12"/>
        <v>Указываются изменение стоимости основных фондов за счет их ввода в эксплуатацию.</v>
      </c>
      <c r="O56" s="915" t="s">
        <v>1142</v>
      </c>
      <c r="P56" s="915" t="s">
        <v>758</v>
      </c>
      <c r="Q56" s="915" t="s">
        <v>758</v>
      </c>
      <c r="R56" s="915" t="s">
        <v>758</v>
      </c>
      <c r="S56" s="915"/>
      <c r="T56" s="90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0" t="s">
        <v>2146</v>
      </c>
      <c r="V56" s="900" t="s">
        <v>2146</v>
      </c>
      <c r="W56" s="900" t="s">
        <v>2146</v>
      </c>
      <c r="X56" s="900"/>
      <c r="Y56" s="904"/>
      <c r="Z56" s="889" t="s">
        <v>760</v>
      </c>
      <c r="AA56" s="889" t="s">
        <v>760</v>
      </c>
      <c r="AB56" s="889" t="s">
        <v>760</v>
      </c>
      <c r="AC56" s="889" t="s">
        <v>760</v>
      </c>
      <c r="AD56" s="889"/>
    </row>
    <row r="57" spans="1:30" ht="27" customHeight="1">
      <c r="A57" s="902"/>
      <c r="B57" s="905">
        <v>40</v>
      </c>
      <c r="C57" s="900" t="s">
        <v>1026</v>
      </c>
      <c r="D57" s="912"/>
      <c r="E57" s="900"/>
      <c r="F57" s="900"/>
      <c r="G57" s="900"/>
      <c r="H57" s="917"/>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903" t="str">
        <f t="shared" si="10"/>
        <v>5.1.2</v>
      </c>
      <c r="M57" s="903" t="str">
        <f t="shared" si="11"/>
        <v>Изменения стоимости основных фондов за счет их вывода в эксплуатацию</v>
      </c>
      <c r="N57" s="903" t="str">
        <f t="shared" si="12"/>
        <v>Указываются изменение стоимости основных фондов за счет их вывода из эксплуатации.</v>
      </c>
      <c r="O57" s="915" t="s">
        <v>2147</v>
      </c>
      <c r="P57" s="915" t="s">
        <v>761</v>
      </c>
      <c r="Q57" s="915" t="s">
        <v>761</v>
      </c>
      <c r="R57" s="915" t="s">
        <v>761</v>
      </c>
      <c r="S57" s="915"/>
      <c r="T57" s="90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0" t="s">
        <v>2148</v>
      </c>
      <c r="V57" s="900" t="s">
        <v>2148</v>
      </c>
      <c r="W57" s="900" t="s">
        <v>2148</v>
      </c>
      <c r="X57" s="900"/>
      <c r="Y57" s="904"/>
      <c r="Z57" s="889" t="s">
        <v>763</v>
      </c>
      <c r="AA57" s="889" t="s">
        <v>763</v>
      </c>
      <c r="AB57" s="889" t="s">
        <v>763</v>
      </c>
      <c r="AC57" s="889" t="s">
        <v>763</v>
      </c>
      <c r="AD57" s="889"/>
    </row>
    <row r="58" spans="1:30" ht="18" customHeight="1">
      <c r="A58" s="902"/>
      <c r="B58" s="905">
        <v>41</v>
      </c>
      <c r="C58" s="900">
        <v>2</v>
      </c>
      <c r="D58" s="912"/>
      <c r="E58" s="900"/>
      <c r="F58" s="900"/>
      <c r="G58" s="900"/>
      <c r="H58" s="917"/>
      <c r="I58" s="914" t="str">
        <f t="shared" si="7"/>
        <v>5.2</v>
      </c>
      <c r="J58" s="914" t="str">
        <f t="shared" si="8"/>
        <v>Изменение стоимости основных фондов за счет их переоценки</v>
      </c>
      <c r="K58" s="914">
        <f t="shared" si="9"/>
        <v>0</v>
      </c>
      <c r="L58" s="903" t="str">
        <f t="shared" si="10"/>
        <v>5.2</v>
      </c>
      <c r="M58" s="903" t="str">
        <f t="shared" si="11"/>
        <v>Изменение стоимости основных фондов за счет их переоценки</v>
      </c>
      <c r="N58" s="903" t="str">
        <f t="shared" si="12"/>
        <v/>
      </c>
      <c r="O58" s="915" t="s">
        <v>883</v>
      </c>
      <c r="P58" s="915" t="s">
        <v>797</v>
      </c>
      <c r="Q58" s="915" t="s">
        <v>797</v>
      </c>
      <c r="R58" s="915" t="s">
        <v>797</v>
      </c>
      <c r="S58" s="915"/>
      <c r="T58" s="90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0" t="s">
        <v>2149</v>
      </c>
      <c r="V58" s="900" t="s">
        <v>2149</v>
      </c>
      <c r="W58" s="900" t="s">
        <v>2149</v>
      </c>
      <c r="X58" s="900"/>
      <c r="Y58" s="904"/>
      <c r="Z58" s="889"/>
      <c r="AA58" s="896"/>
      <c r="AB58" s="889"/>
      <c r="AC58" s="889"/>
      <c r="AD58" s="889"/>
    </row>
    <row r="59" spans="1:30" ht="36" customHeight="1">
      <c r="A59" s="902"/>
      <c r="B59" s="905">
        <v>42</v>
      </c>
      <c r="C59" s="900">
        <v>3</v>
      </c>
      <c r="D59" s="912" t="s">
        <v>2137</v>
      </c>
      <c r="E59" s="900" t="s">
        <v>2137</v>
      </c>
      <c r="F59" s="900" t="s">
        <v>2137</v>
      </c>
      <c r="G59" s="900"/>
      <c r="H59" s="917"/>
      <c r="I59" s="914">
        <f t="shared" si="7"/>
        <v>0</v>
      </c>
      <c r="J59" s="914">
        <f t="shared" si="8"/>
        <v>0</v>
      </c>
      <c r="K59" s="914">
        <f t="shared" si="9"/>
        <v>0</v>
      </c>
      <c r="L59" s="903" t="str">
        <f t="shared" si="10"/>
        <v/>
      </c>
      <c r="M59" s="903" t="str">
        <f t="shared" si="11"/>
        <v/>
      </c>
      <c r="N59" s="903" t="str">
        <f t="shared" si="12"/>
        <v/>
      </c>
      <c r="O59" s="915"/>
      <c r="P59" s="915" t="s">
        <v>112</v>
      </c>
      <c r="Q59" s="915" t="s">
        <v>112</v>
      </c>
      <c r="R59" s="915" t="s">
        <v>112</v>
      </c>
      <c r="S59" s="915"/>
      <c r="T59" s="900"/>
      <c r="U59" s="900" t="s">
        <v>2150</v>
      </c>
      <c r="V59" s="900" t="s">
        <v>2151</v>
      </c>
      <c r="W59" s="900" t="s">
        <v>2152</v>
      </c>
      <c r="X59" s="900"/>
      <c r="Y59" s="904"/>
      <c r="Z59" s="889"/>
      <c r="AA59" s="896"/>
      <c r="AB59" s="889"/>
      <c r="AC59" s="889"/>
      <c r="AD59" s="889"/>
    </row>
    <row r="60" spans="1:30" ht="81" customHeight="1">
      <c r="A60" s="902"/>
      <c r="B60" s="905">
        <v>43</v>
      </c>
      <c r="C60" s="900" t="s">
        <v>2153</v>
      </c>
      <c r="D60" s="912" t="s">
        <v>2153</v>
      </c>
      <c r="E60" s="900" t="s">
        <v>2153</v>
      </c>
      <c r="F60" s="900" t="s">
        <v>2153</v>
      </c>
      <c r="G60" s="900"/>
      <c r="H60" s="917"/>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3" t="str">
        <f t="shared" si="10"/>
        <v>6</v>
      </c>
      <c r="M60" s="903" t="str">
        <f t="shared" si="11"/>
        <v>Годовая бухгалтерская (финансовая) отчетность, включая бухгалтерский баланс и приложения к нему</v>
      </c>
      <c r="N60" s="90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15" t="s">
        <v>92</v>
      </c>
      <c r="P60" s="915" t="s">
        <v>92</v>
      </c>
      <c r="Q60" s="915" t="s">
        <v>92</v>
      </c>
      <c r="R60" s="915" t="s">
        <v>92</v>
      </c>
      <c r="S60" s="915"/>
      <c r="T60" s="900" t="s">
        <v>630</v>
      </c>
      <c r="U60" s="900" t="s">
        <v>630</v>
      </c>
      <c r="V60" s="900" t="s">
        <v>630</v>
      </c>
      <c r="W60" s="900" t="s">
        <v>630</v>
      </c>
      <c r="X60" s="900"/>
      <c r="Y60" s="904"/>
      <c r="Z60" s="889" t="s">
        <v>2154</v>
      </c>
      <c r="AA60" s="896" t="s">
        <v>2155</v>
      </c>
      <c r="AB60" s="889" t="s">
        <v>2156</v>
      </c>
      <c r="AC60" s="889" t="s">
        <v>2155</v>
      </c>
      <c r="AD60" s="889"/>
    </row>
    <row r="61" spans="1:30" ht="9" customHeight="1">
      <c r="A61" s="902"/>
      <c r="B61" s="905">
        <v>44</v>
      </c>
      <c r="C61" s="900"/>
      <c r="D61" s="912" t="s">
        <v>2157</v>
      </c>
      <c r="E61" s="900"/>
      <c r="F61" s="900"/>
      <c r="G61" s="900"/>
      <c r="H61" s="917"/>
      <c r="I61" s="914">
        <f t="shared" si="7"/>
        <v>0</v>
      </c>
      <c r="J61" s="914">
        <f t="shared" si="8"/>
        <v>0</v>
      </c>
      <c r="K61" s="914">
        <f t="shared" si="9"/>
        <v>0</v>
      </c>
      <c r="L61" s="903" t="str">
        <f t="shared" si="10"/>
        <v/>
      </c>
      <c r="M61" s="903" t="str">
        <f t="shared" si="11"/>
        <v/>
      </c>
      <c r="N61" s="903" t="str">
        <f t="shared" si="12"/>
        <v/>
      </c>
      <c r="O61" s="915"/>
      <c r="P61" s="915" t="s">
        <v>93</v>
      </c>
      <c r="Q61" s="915"/>
      <c r="R61" s="915"/>
      <c r="S61" s="915"/>
      <c r="T61" s="900"/>
      <c r="U61" s="900" t="s">
        <v>2158</v>
      </c>
      <c r="V61" s="900"/>
      <c r="W61" s="900"/>
      <c r="X61" s="900"/>
      <c r="Y61" s="904"/>
      <c r="Z61" s="889"/>
      <c r="AA61" s="896"/>
      <c r="AB61" s="889"/>
      <c r="AC61" s="889"/>
      <c r="AD61" s="889"/>
    </row>
    <row r="62" spans="1:30" ht="9" customHeight="1">
      <c r="A62" s="902"/>
      <c r="B62" s="905">
        <v>45</v>
      </c>
      <c r="C62" s="900"/>
      <c r="D62" s="912" t="s">
        <v>2159</v>
      </c>
      <c r="E62" s="900"/>
      <c r="F62" s="900"/>
      <c r="G62" s="900"/>
      <c r="H62" s="917"/>
      <c r="I62" s="914">
        <f t="shared" si="7"/>
        <v>0</v>
      </c>
      <c r="J62" s="914">
        <f t="shared" si="8"/>
        <v>0</v>
      </c>
      <c r="K62" s="914">
        <f t="shared" si="9"/>
        <v>0</v>
      </c>
      <c r="L62" s="903" t="str">
        <f t="shared" si="10"/>
        <v/>
      </c>
      <c r="M62" s="903" t="str">
        <f t="shared" si="11"/>
        <v/>
      </c>
      <c r="N62" s="903" t="str">
        <f t="shared" si="12"/>
        <v/>
      </c>
      <c r="O62" s="915"/>
      <c r="P62" s="915" t="s">
        <v>113</v>
      </c>
      <c r="Q62" s="915"/>
      <c r="R62" s="915"/>
      <c r="S62" s="915"/>
      <c r="T62" s="900"/>
      <c r="U62" s="900" t="s">
        <v>2160</v>
      </c>
      <c r="V62" s="900"/>
      <c r="W62" s="900"/>
      <c r="X62" s="900"/>
      <c r="Y62" s="904"/>
      <c r="Z62" s="889"/>
      <c r="AA62" s="896"/>
      <c r="AB62" s="889"/>
      <c r="AC62" s="889"/>
      <c r="AD62" s="889"/>
    </row>
    <row r="63" spans="1:30" ht="18" customHeight="1">
      <c r="A63" s="902"/>
      <c r="B63" s="905">
        <v>46</v>
      </c>
      <c r="C63" s="900"/>
      <c r="D63" s="912" t="s">
        <v>2161</v>
      </c>
      <c r="E63" s="900"/>
      <c r="F63" s="900"/>
      <c r="G63" s="900"/>
      <c r="H63" s="917"/>
      <c r="I63" s="914">
        <f t="shared" si="7"/>
        <v>0</v>
      </c>
      <c r="J63" s="914">
        <f t="shared" si="8"/>
        <v>0</v>
      </c>
      <c r="K63" s="914">
        <f t="shared" si="9"/>
        <v>0</v>
      </c>
      <c r="L63" s="903" t="str">
        <f t="shared" si="10"/>
        <v/>
      </c>
      <c r="M63" s="903" t="str">
        <f t="shared" si="11"/>
        <v/>
      </c>
      <c r="N63" s="903" t="str">
        <f t="shared" si="12"/>
        <v/>
      </c>
      <c r="O63" s="915"/>
      <c r="P63" s="915" t="s">
        <v>151</v>
      </c>
      <c r="Q63" s="915"/>
      <c r="R63" s="915"/>
      <c r="S63" s="915"/>
      <c r="T63" s="900"/>
      <c r="U63" s="900" t="s">
        <v>2162</v>
      </c>
      <c r="V63" s="900"/>
      <c r="W63" s="900"/>
      <c r="X63" s="900"/>
      <c r="Y63" s="904"/>
      <c r="Z63" s="889"/>
      <c r="AA63" s="896"/>
      <c r="AB63" s="889"/>
      <c r="AC63" s="889"/>
      <c r="AD63" s="889"/>
    </row>
    <row r="64" spans="1:30" ht="18" customHeight="1">
      <c r="A64" s="902"/>
      <c r="B64" s="905">
        <v>47</v>
      </c>
      <c r="C64" s="900"/>
      <c r="D64" s="912" t="s">
        <v>2163</v>
      </c>
      <c r="E64" s="900"/>
      <c r="F64" s="900"/>
      <c r="G64" s="900"/>
      <c r="H64" s="917"/>
      <c r="I64" s="914">
        <f t="shared" si="7"/>
        <v>0</v>
      </c>
      <c r="J64" s="914">
        <f t="shared" si="8"/>
        <v>0</v>
      </c>
      <c r="K64" s="914">
        <f t="shared" si="9"/>
        <v>0</v>
      </c>
      <c r="L64" s="903" t="str">
        <f t="shared" si="10"/>
        <v/>
      </c>
      <c r="M64" s="903" t="str">
        <f t="shared" si="11"/>
        <v/>
      </c>
      <c r="N64" s="903" t="str">
        <f t="shared" si="12"/>
        <v/>
      </c>
      <c r="O64" s="915"/>
      <c r="P64" s="915" t="s">
        <v>152</v>
      </c>
      <c r="Q64" s="915"/>
      <c r="R64" s="915"/>
      <c r="S64" s="915"/>
      <c r="T64" s="900"/>
      <c r="U64" s="900" t="s">
        <v>2164</v>
      </c>
      <c r="V64" s="900"/>
      <c r="W64" s="900"/>
      <c r="X64" s="900"/>
      <c r="Y64" s="904"/>
      <c r="Z64" s="889"/>
      <c r="AA64" s="896" t="s">
        <v>2165</v>
      </c>
      <c r="AB64" s="889"/>
      <c r="AC64" s="889"/>
      <c r="AD64" s="889"/>
    </row>
    <row r="65" spans="1:30" ht="18" customHeight="1">
      <c r="A65" s="902"/>
      <c r="B65" s="905">
        <v>48</v>
      </c>
      <c r="C65" s="900"/>
      <c r="D65" s="912"/>
      <c r="E65" s="900"/>
      <c r="F65" s="900"/>
      <c r="G65" s="900"/>
      <c r="H65" s="917"/>
      <c r="I65" s="914">
        <f t="shared" si="7"/>
        <v>0</v>
      </c>
      <c r="J65" s="914">
        <f t="shared" si="8"/>
        <v>0</v>
      </c>
      <c r="K65" s="914">
        <f t="shared" si="9"/>
        <v>0</v>
      </c>
      <c r="L65" s="903" t="str">
        <f t="shared" si="10"/>
        <v/>
      </c>
      <c r="M65" s="903" t="str">
        <f t="shared" si="11"/>
        <v/>
      </c>
      <c r="N65" s="903" t="str">
        <f t="shared" si="12"/>
        <v/>
      </c>
      <c r="O65" s="915"/>
      <c r="P65" s="915" t="s">
        <v>2078</v>
      </c>
      <c r="Q65" s="915"/>
      <c r="R65" s="915"/>
      <c r="S65" s="915"/>
      <c r="T65" s="900"/>
      <c r="U65" s="900" t="s">
        <v>2166</v>
      </c>
      <c r="V65" s="900"/>
      <c r="W65" s="900"/>
      <c r="X65" s="900"/>
      <c r="Y65" s="904"/>
      <c r="Z65" s="889"/>
      <c r="AA65" s="896"/>
      <c r="AB65" s="889"/>
      <c r="AC65" s="889"/>
      <c r="AD65" s="889"/>
    </row>
    <row r="66" spans="1:30" ht="18" customHeight="1">
      <c r="A66" s="902"/>
      <c r="B66" s="905">
        <v>49</v>
      </c>
      <c r="C66" s="900"/>
      <c r="D66" s="912"/>
      <c r="E66" s="900"/>
      <c r="F66" s="900"/>
      <c r="G66" s="900"/>
      <c r="H66" s="917"/>
      <c r="I66" s="914">
        <f t="shared" si="7"/>
        <v>0</v>
      </c>
      <c r="J66" s="914">
        <f t="shared" si="8"/>
        <v>0</v>
      </c>
      <c r="K66" s="914">
        <f t="shared" si="9"/>
        <v>0</v>
      </c>
      <c r="L66" s="903" t="str">
        <f t="shared" si="10"/>
        <v/>
      </c>
      <c r="M66" s="903" t="str">
        <f t="shared" si="11"/>
        <v/>
      </c>
      <c r="N66" s="903" t="str">
        <f t="shared" si="12"/>
        <v/>
      </c>
      <c r="O66" s="915"/>
      <c r="P66" s="915" t="s">
        <v>2082</v>
      </c>
      <c r="Q66" s="915"/>
      <c r="R66" s="915"/>
      <c r="S66" s="915"/>
      <c r="T66" s="900"/>
      <c r="U66" s="900" t="s">
        <v>2167</v>
      </c>
      <c r="V66" s="900"/>
      <c r="W66" s="900"/>
      <c r="X66" s="900"/>
      <c r="Y66" s="904"/>
      <c r="Z66" s="889"/>
      <c r="AA66" s="896"/>
      <c r="AB66" s="889"/>
      <c r="AC66" s="889"/>
      <c r="AD66" s="889"/>
    </row>
    <row r="67" spans="1:30" ht="27" customHeight="1">
      <c r="A67" s="902"/>
      <c r="B67" s="905">
        <v>50</v>
      </c>
      <c r="C67" s="900"/>
      <c r="D67" s="912"/>
      <c r="E67" s="900"/>
      <c r="F67" s="900"/>
      <c r="G67" s="900"/>
      <c r="H67" s="917"/>
      <c r="I67" s="914">
        <f t="shared" si="7"/>
        <v>0</v>
      </c>
      <c r="J67" s="914">
        <f t="shared" si="8"/>
        <v>0</v>
      </c>
      <c r="K67" s="914">
        <f t="shared" si="9"/>
        <v>0</v>
      </c>
      <c r="L67" s="903" t="str">
        <f t="shared" si="10"/>
        <v/>
      </c>
      <c r="M67" s="903" t="str">
        <f t="shared" si="11"/>
        <v/>
      </c>
      <c r="N67" s="903" t="str">
        <f t="shared" si="12"/>
        <v/>
      </c>
      <c r="O67" s="915"/>
      <c r="P67" s="915" t="s">
        <v>2168</v>
      </c>
      <c r="Q67" s="915"/>
      <c r="R67" s="915"/>
      <c r="S67" s="915"/>
      <c r="T67" s="900"/>
      <c r="U67" s="900" t="s">
        <v>2169</v>
      </c>
      <c r="V67" s="900"/>
      <c r="W67" s="900"/>
      <c r="X67" s="900"/>
      <c r="Y67" s="904"/>
      <c r="Z67" s="889"/>
      <c r="AA67" s="896"/>
      <c r="AB67" s="889"/>
      <c r="AC67" s="889"/>
      <c r="AD67" s="889"/>
    </row>
    <row r="68" spans="1:30" ht="27" customHeight="1">
      <c r="A68" s="902"/>
      <c r="B68" s="905">
        <v>51</v>
      </c>
      <c r="C68" s="900"/>
      <c r="D68" s="912"/>
      <c r="E68" s="900"/>
      <c r="F68" s="900"/>
      <c r="G68" s="900"/>
      <c r="H68" s="917"/>
      <c r="I68" s="914">
        <f t="shared" si="7"/>
        <v>0</v>
      </c>
      <c r="J68" s="914">
        <f t="shared" si="8"/>
        <v>0</v>
      </c>
      <c r="K68" s="914">
        <f t="shared" si="9"/>
        <v>0</v>
      </c>
      <c r="L68" s="903" t="str">
        <f t="shared" si="10"/>
        <v/>
      </c>
      <c r="M68" s="903" t="str">
        <f t="shared" si="11"/>
        <v/>
      </c>
      <c r="N68" s="903" t="str">
        <f t="shared" si="12"/>
        <v/>
      </c>
      <c r="O68" s="915"/>
      <c r="P68" s="915" t="s">
        <v>2170</v>
      </c>
      <c r="Q68" s="915"/>
      <c r="R68" s="915"/>
      <c r="S68" s="915"/>
      <c r="T68" s="900"/>
      <c r="U68" s="900" t="s">
        <v>2171</v>
      </c>
      <c r="V68" s="900"/>
      <c r="W68" s="900"/>
      <c r="X68" s="900"/>
      <c r="Y68" s="904"/>
      <c r="Z68" s="889"/>
      <c r="AA68" s="896"/>
      <c r="AB68" s="889"/>
      <c r="AC68" s="889"/>
      <c r="AD68" s="889"/>
    </row>
    <row r="69" spans="1:30" ht="9" customHeight="1">
      <c r="A69" s="902"/>
      <c r="B69" s="905">
        <v>52</v>
      </c>
      <c r="C69" s="900"/>
      <c r="D69" s="912" t="s">
        <v>2172</v>
      </c>
      <c r="E69" s="900"/>
      <c r="F69" s="900"/>
      <c r="G69" s="900"/>
      <c r="H69" s="917"/>
      <c r="I69" s="914">
        <f t="shared" si="7"/>
        <v>0</v>
      </c>
      <c r="J69" s="914">
        <f t="shared" si="8"/>
        <v>0</v>
      </c>
      <c r="K69" s="914">
        <f t="shared" si="9"/>
        <v>0</v>
      </c>
      <c r="L69" s="903" t="str">
        <f t="shared" si="10"/>
        <v/>
      </c>
      <c r="M69" s="903" t="str">
        <f t="shared" si="11"/>
        <v/>
      </c>
      <c r="N69" s="903" t="str">
        <f t="shared" si="12"/>
        <v/>
      </c>
      <c r="O69" s="915"/>
      <c r="P69" s="915" t="s">
        <v>153</v>
      </c>
      <c r="Q69" s="915"/>
      <c r="R69" s="915"/>
      <c r="S69" s="915"/>
      <c r="T69" s="900"/>
      <c r="U69" s="900" t="s">
        <v>2173</v>
      </c>
      <c r="V69" s="900"/>
      <c r="W69" s="900"/>
      <c r="X69" s="900"/>
      <c r="Y69" s="904"/>
      <c r="Z69" s="889"/>
      <c r="AA69" s="896"/>
      <c r="AB69" s="889"/>
      <c r="AC69" s="889"/>
      <c r="AD69" s="889"/>
    </row>
    <row r="70" spans="1:30" ht="27" customHeight="1">
      <c r="A70" s="902"/>
      <c r="B70" s="905">
        <v>53</v>
      </c>
      <c r="C70" s="900"/>
      <c r="D70" s="912"/>
      <c r="E70" s="900" t="s">
        <v>2157</v>
      </c>
      <c r="F70" s="900"/>
      <c r="G70" s="900"/>
      <c r="H70" s="917"/>
      <c r="I70" s="914">
        <f t="shared" si="7"/>
        <v>0</v>
      </c>
      <c r="J70" s="914">
        <f t="shared" si="8"/>
        <v>0</v>
      </c>
      <c r="K70" s="914">
        <f t="shared" si="9"/>
        <v>0</v>
      </c>
      <c r="L70" s="903" t="str">
        <f t="shared" si="10"/>
        <v/>
      </c>
      <c r="M70" s="903" t="str">
        <f t="shared" si="11"/>
        <v/>
      </c>
      <c r="N70" s="903" t="str">
        <f t="shared" si="12"/>
        <v/>
      </c>
      <c r="O70" s="915"/>
      <c r="P70" s="915"/>
      <c r="Q70" s="915" t="s">
        <v>93</v>
      </c>
      <c r="R70" s="915"/>
      <c r="S70" s="915"/>
      <c r="T70" s="900"/>
      <c r="U70" s="900"/>
      <c r="V70" s="900" t="s">
        <v>2174</v>
      </c>
      <c r="W70" s="900"/>
      <c r="X70" s="900"/>
      <c r="Y70" s="904"/>
      <c r="Z70" s="889"/>
      <c r="AA70" s="896"/>
      <c r="AB70" s="889"/>
      <c r="AC70" s="889"/>
      <c r="AD70" s="889"/>
    </row>
    <row r="71" spans="1:30" ht="36" customHeight="1">
      <c r="A71" s="902"/>
      <c r="B71" s="905">
        <v>54</v>
      </c>
      <c r="C71" s="900"/>
      <c r="D71" s="912"/>
      <c r="E71" s="900" t="s">
        <v>2159</v>
      </c>
      <c r="F71" s="900"/>
      <c r="G71" s="900"/>
      <c r="H71" s="917"/>
      <c r="I71" s="914">
        <f t="shared" si="7"/>
        <v>0</v>
      </c>
      <c r="J71" s="914">
        <f t="shared" si="8"/>
        <v>0</v>
      </c>
      <c r="K71" s="914">
        <f t="shared" si="9"/>
        <v>0</v>
      </c>
      <c r="L71" s="903" t="str">
        <f t="shared" si="10"/>
        <v/>
      </c>
      <c r="M71" s="903" t="str">
        <f t="shared" si="11"/>
        <v/>
      </c>
      <c r="N71" s="903" t="str">
        <f t="shared" si="12"/>
        <v/>
      </c>
      <c r="O71" s="915"/>
      <c r="P71" s="915"/>
      <c r="Q71" s="915" t="s">
        <v>113</v>
      </c>
      <c r="R71" s="915"/>
      <c r="S71" s="915"/>
      <c r="T71" s="900"/>
      <c r="U71" s="900"/>
      <c r="V71" s="900" t="s">
        <v>2175</v>
      </c>
      <c r="W71" s="900"/>
      <c r="X71" s="900"/>
      <c r="Y71" s="904"/>
      <c r="Z71" s="889"/>
      <c r="AA71" s="896"/>
      <c r="AB71" s="889"/>
      <c r="AC71" s="889"/>
      <c r="AD71" s="889"/>
    </row>
    <row r="72" spans="1:30" ht="27" customHeight="1">
      <c r="A72" s="902"/>
      <c r="B72" s="905">
        <v>55</v>
      </c>
      <c r="C72" s="900"/>
      <c r="D72" s="912"/>
      <c r="E72" s="900" t="s">
        <v>2161</v>
      </c>
      <c r="F72" s="900"/>
      <c r="G72" s="900"/>
      <c r="H72" s="917"/>
      <c r="I72" s="914">
        <f t="shared" si="7"/>
        <v>0</v>
      </c>
      <c r="J72" s="914">
        <f t="shared" si="8"/>
        <v>0</v>
      </c>
      <c r="K72" s="914">
        <f t="shared" si="9"/>
        <v>0</v>
      </c>
      <c r="L72" s="903" t="str">
        <f t="shared" si="10"/>
        <v/>
      </c>
      <c r="M72" s="903" t="str">
        <f t="shared" si="11"/>
        <v/>
      </c>
      <c r="N72" s="903" t="str">
        <f t="shared" si="12"/>
        <v/>
      </c>
      <c r="O72" s="915"/>
      <c r="P72" s="915"/>
      <c r="Q72" s="915" t="s">
        <v>151</v>
      </c>
      <c r="R72" s="915"/>
      <c r="S72" s="915"/>
      <c r="T72" s="900"/>
      <c r="U72" s="900"/>
      <c r="V72" s="900" t="s">
        <v>2176</v>
      </c>
      <c r="W72" s="900"/>
      <c r="X72" s="900"/>
      <c r="Y72" s="904"/>
      <c r="Z72" s="889"/>
      <c r="AA72" s="896"/>
      <c r="AB72" s="889"/>
      <c r="AC72" s="889"/>
      <c r="AD72" s="889"/>
    </row>
    <row r="73" spans="1:30" ht="36" customHeight="1">
      <c r="A73" s="902"/>
      <c r="B73" s="905">
        <v>56</v>
      </c>
      <c r="C73" s="900"/>
      <c r="D73" s="912"/>
      <c r="E73" s="900" t="s">
        <v>2163</v>
      </c>
      <c r="F73" s="900"/>
      <c r="G73" s="900"/>
      <c r="H73" s="917"/>
      <c r="I73" s="914">
        <f t="shared" si="7"/>
        <v>0</v>
      </c>
      <c r="J73" s="914">
        <f t="shared" si="8"/>
        <v>0</v>
      </c>
      <c r="K73" s="914">
        <f t="shared" si="9"/>
        <v>0</v>
      </c>
      <c r="L73" s="903" t="str">
        <f t="shared" si="10"/>
        <v/>
      </c>
      <c r="M73" s="903" t="str">
        <f t="shared" si="11"/>
        <v/>
      </c>
      <c r="N73" s="903" t="str">
        <f t="shared" si="12"/>
        <v/>
      </c>
      <c r="O73" s="915"/>
      <c r="P73" s="915"/>
      <c r="Q73" s="915" t="s">
        <v>152</v>
      </c>
      <c r="R73" s="915"/>
      <c r="S73" s="915"/>
      <c r="T73" s="900"/>
      <c r="U73" s="900"/>
      <c r="V73" s="900" t="s">
        <v>2177</v>
      </c>
      <c r="W73" s="900"/>
      <c r="X73" s="900"/>
      <c r="Y73" s="904"/>
      <c r="Z73" s="889"/>
      <c r="AA73" s="896"/>
      <c r="AB73" s="889"/>
      <c r="AC73" s="889"/>
      <c r="AD73" s="889"/>
    </row>
    <row r="74" spans="1:30" ht="18" customHeight="1">
      <c r="A74" s="902"/>
      <c r="B74" s="905">
        <v>57</v>
      </c>
      <c r="C74" s="900"/>
      <c r="D74" s="912"/>
      <c r="E74" s="900" t="s">
        <v>2172</v>
      </c>
      <c r="F74" s="900"/>
      <c r="G74" s="900"/>
      <c r="H74" s="917"/>
      <c r="I74" s="914">
        <f t="shared" si="7"/>
        <v>0</v>
      </c>
      <c r="J74" s="914">
        <f t="shared" si="8"/>
        <v>0</v>
      </c>
      <c r="K74" s="914">
        <f t="shared" si="9"/>
        <v>0</v>
      </c>
      <c r="L74" s="903" t="str">
        <f t="shared" si="10"/>
        <v/>
      </c>
      <c r="M74" s="903" t="str">
        <f t="shared" si="11"/>
        <v/>
      </c>
      <c r="N74" s="903" t="str">
        <f t="shared" si="12"/>
        <v/>
      </c>
      <c r="O74" s="915"/>
      <c r="P74" s="915"/>
      <c r="Q74" s="915" t="s">
        <v>153</v>
      </c>
      <c r="R74" s="915"/>
      <c r="S74" s="915"/>
      <c r="T74" s="900"/>
      <c r="U74" s="900"/>
      <c r="V74" s="900" t="s">
        <v>2178</v>
      </c>
      <c r="W74" s="900"/>
      <c r="X74" s="900"/>
      <c r="Y74" s="904"/>
      <c r="Z74" s="889"/>
      <c r="AA74" s="896"/>
      <c r="AB74" s="889"/>
      <c r="AC74" s="889"/>
      <c r="AD74" s="889"/>
    </row>
    <row r="75" spans="1:30" ht="18" customHeight="1">
      <c r="A75" s="902"/>
      <c r="B75" s="905">
        <v>58</v>
      </c>
      <c r="C75" s="900"/>
      <c r="D75" s="912"/>
      <c r="E75" s="900"/>
      <c r="F75" s="900" t="s">
        <v>2157</v>
      </c>
      <c r="G75" s="900"/>
      <c r="H75" s="917"/>
      <c r="I75" s="914">
        <f t="shared" si="7"/>
        <v>0</v>
      </c>
      <c r="J75" s="914">
        <f t="shared" si="8"/>
        <v>0</v>
      </c>
      <c r="K75" s="914">
        <f t="shared" si="9"/>
        <v>0</v>
      </c>
      <c r="L75" s="903" t="str">
        <f t="shared" si="10"/>
        <v/>
      </c>
      <c r="M75" s="903" t="str">
        <f t="shared" si="11"/>
        <v/>
      </c>
      <c r="N75" s="903" t="str">
        <f t="shared" si="12"/>
        <v/>
      </c>
      <c r="O75" s="915"/>
      <c r="P75" s="915"/>
      <c r="Q75" s="915"/>
      <c r="R75" s="915" t="s">
        <v>93</v>
      </c>
      <c r="S75" s="915"/>
      <c r="T75" s="900"/>
      <c r="U75" s="900"/>
      <c r="V75" s="900"/>
      <c r="W75" s="900" t="s">
        <v>2179</v>
      </c>
      <c r="X75" s="900"/>
      <c r="Y75" s="904"/>
      <c r="Z75" s="889"/>
      <c r="AA75" s="896"/>
      <c r="AB75" s="889"/>
      <c r="AC75" s="889"/>
      <c r="AD75" s="889"/>
    </row>
    <row r="76" spans="1:30" ht="36" customHeight="1">
      <c r="A76" s="902"/>
      <c r="B76" s="905">
        <v>59</v>
      </c>
      <c r="C76" s="900"/>
      <c r="D76" s="912"/>
      <c r="E76" s="900"/>
      <c r="F76" s="900" t="s">
        <v>2159</v>
      </c>
      <c r="G76" s="900"/>
      <c r="H76" s="917"/>
      <c r="I76" s="914">
        <f t="shared" si="7"/>
        <v>0</v>
      </c>
      <c r="J76" s="914">
        <f t="shared" si="8"/>
        <v>0</v>
      </c>
      <c r="K76" s="914">
        <f t="shared" si="9"/>
        <v>0</v>
      </c>
      <c r="L76" s="903" t="str">
        <f t="shared" si="10"/>
        <v/>
      </c>
      <c r="M76" s="903" t="str">
        <f t="shared" si="11"/>
        <v/>
      </c>
      <c r="N76" s="903" t="str">
        <f t="shared" si="12"/>
        <v/>
      </c>
      <c r="O76" s="915"/>
      <c r="P76" s="915"/>
      <c r="Q76" s="915"/>
      <c r="R76" s="915" t="s">
        <v>113</v>
      </c>
      <c r="S76" s="915"/>
      <c r="T76" s="900"/>
      <c r="U76" s="900"/>
      <c r="V76" s="900"/>
      <c r="W76" s="900" t="s">
        <v>2180</v>
      </c>
      <c r="X76" s="900"/>
      <c r="Y76" s="904"/>
      <c r="Z76" s="889"/>
      <c r="AA76" s="896"/>
      <c r="AB76" s="889"/>
      <c r="AC76" s="889"/>
      <c r="AD76" s="889"/>
    </row>
    <row r="77" spans="1:30" ht="18" customHeight="1">
      <c r="A77" s="902"/>
      <c r="B77" s="905">
        <v>60</v>
      </c>
      <c r="C77" s="900"/>
      <c r="D77" s="912"/>
      <c r="E77" s="900"/>
      <c r="F77" s="900" t="s">
        <v>2161</v>
      </c>
      <c r="G77" s="900"/>
      <c r="H77" s="917"/>
      <c r="I77" s="914">
        <f t="shared" si="7"/>
        <v>0</v>
      </c>
      <c r="J77" s="914">
        <f t="shared" si="8"/>
        <v>0</v>
      </c>
      <c r="K77" s="914">
        <f t="shared" si="9"/>
        <v>0</v>
      </c>
      <c r="L77" s="903" t="str">
        <f t="shared" si="10"/>
        <v/>
      </c>
      <c r="M77" s="903" t="str">
        <f t="shared" si="11"/>
        <v/>
      </c>
      <c r="N77" s="903" t="str">
        <f t="shared" si="12"/>
        <v/>
      </c>
      <c r="O77" s="915"/>
      <c r="P77" s="915"/>
      <c r="Q77" s="915"/>
      <c r="R77" s="915" t="s">
        <v>151</v>
      </c>
      <c r="S77" s="915"/>
      <c r="T77" s="900"/>
      <c r="U77" s="900"/>
      <c r="V77" s="900"/>
      <c r="W77" s="900" t="s">
        <v>2181</v>
      </c>
      <c r="X77" s="900"/>
      <c r="Y77" s="904"/>
      <c r="Z77" s="889"/>
      <c r="AA77" s="896"/>
      <c r="AB77" s="889"/>
      <c r="AC77" s="889"/>
      <c r="AD77" s="889"/>
    </row>
    <row r="78" spans="1:30" ht="72" customHeight="1">
      <c r="A78" s="902"/>
      <c r="B78" s="905">
        <v>61</v>
      </c>
      <c r="C78" s="900" t="s">
        <v>2157</v>
      </c>
      <c r="D78" s="912"/>
      <c r="E78" s="900"/>
      <c r="F78" s="900"/>
      <c r="G78" s="900"/>
      <c r="H78" s="917"/>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903" t="str">
        <f t="shared" si="10"/>
        <v>7</v>
      </c>
      <c r="M78" s="90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90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915" t="s">
        <v>93</v>
      </c>
      <c r="P78" s="915"/>
      <c r="Q78" s="915"/>
      <c r="R78" s="915"/>
      <c r="S78" s="915"/>
      <c r="T78" s="900" t="s">
        <v>635</v>
      </c>
      <c r="U78" s="900"/>
      <c r="V78" s="900"/>
      <c r="W78" s="900"/>
      <c r="X78" s="900"/>
      <c r="Y78" s="904"/>
      <c r="Z78" s="889" t="s">
        <v>2182</v>
      </c>
      <c r="AA78" s="896"/>
      <c r="AB78" s="889"/>
      <c r="AC78" s="889"/>
      <c r="AD78" s="889"/>
    </row>
    <row r="79" spans="1:30" ht="36" customHeight="1">
      <c r="A79" s="902"/>
      <c r="B79" s="905">
        <v>62</v>
      </c>
      <c r="C79" s="900" t="s">
        <v>2159</v>
      </c>
      <c r="D79" s="912"/>
      <c r="E79" s="900"/>
      <c r="F79" s="900"/>
      <c r="G79" s="900"/>
      <c r="H79" s="917"/>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903" t="str">
        <f t="shared" si="10"/>
        <v>8</v>
      </c>
      <c r="M79" s="903" t="str">
        <f t="shared" si="11"/>
        <v>Тепловая нагрузка по договорам, заключенным в рамках осуществления регулируемых видов деятельности</v>
      </c>
      <c r="N79" s="90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915" t="s">
        <v>113</v>
      </c>
      <c r="P79" s="915"/>
      <c r="Q79" s="915"/>
      <c r="R79" s="915"/>
      <c r="S79" s="915"/>
      <c r="T79" s="900" t="s">
        <v>2183</v>
      </c>
      <c r="U79" s="900"/>
      <c r="V79" s="900"/>
      <c r="W79" s="900"/>
      <c r="X79" s="900"/>
      <c r="Y79" s="904"/>
      <c r="Z79" s="889" t="s">
        <v>2184</v>
      </c>
      <c r="AA79" s="896"/>
      <c r="AB79" s="889"/>
      <c r="AC79" s="889"/>
      <c r="AD79" s="889"/>
    </row>
    <row r="80" spans="1:30" ht="45" customHeight="1">
      <c r="A80" s="902"/>
      <c r="B80" s="905">
        <v>63</v>
      </c>
      <c r="C80" s="900" t="s">
        <v>2161</v>
      </c>
      <c r="D80" s="912"/>
      <c r="E80" s="900"/>
      <c r="F80" s="900"/>
      <c r="G80" s="900"/>
      <c r="H80" s="917"/>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903" t="str">
        <f t="shared" si="10"/>
        <v>9</v>
      </c>
      <c r="M80" s="903" t="str">
        <f t="shared" si="11"/>
        <v>Объем вырабатываемой регулируемой организацией тепловой энергии в рамках осуществления регулируемых видов деятельности</v>
      </c>
      <c r="N80" s="90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915" t="s">
        <v>151</v>
      </c>
      <c r="P80" s="915"/>
      <c r="Q80" s="915"/>
      <c r="R80" s="915"/>
      <c r="S80" s="915"/>
      <c r="T80" s="900" t="s">
        <v>2185</v>
      </c>
      <c r="U80" s="900"/>
      <c r="V80" s="900"/>
      <c r="W80" s="900"/>
      <c r="X80" s="900"/>
      <c r="Y80" s="904"/>
      <c r="Z80" s="889" t="s">
        <v>2186</v>
      </c>
      <c r="AA80" s="896"/>
      <c r="AB80" s="889"/>
      <c r="AC80" s="889"/>
      <c r="AD80" s="889"/>
    </row>
    <row r="81" spans="1:30" ht="36" customHeight="1">
      <c r="A81" s="902"/>
      <c r="B81" s="905">
        <v>64</v>
      </c>
      <c r="C81" s="900" t="s">
        <v>2163</v>
      </c>
      <c r="D81" s="912"/>
      <c r="E81" s="900"/>
      <c r="F81" s="900"/>
      <c r="G81" s="900"/>
      <c r="H81" s="917"/>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903" t="str">
        <f t="shared" si="10"/>
        <v>9.1</v>
      </c>
      <c r="M81" s="903" t="str">
        <f t="shared" si="11"/>
        <v>Объем приобретаемой регулируемой организацией тепловой энергии в рамках осуществления регулируемых видов деятельности</v>
      </c>
      <c r="N81" s="903" t="str">
        <f t="shared" si="12"/>
        <v>Информация указывается только едиными теплоснабжающими организациями.</v>
      </c>
      <c r="O81" s="915" t="s">
        <v>2069</v>
      </c>
      <c r="P81" s="915"/>
      <c r="Q81" s="915"/>
      <c r="R81" s="915"/>
      <c r="S81" s="915"/>
      <c r="T81" s="900" t="s">
        <v>2187</v>
      </c>
      <c r="U81" s="900"/>
      <c r="V81" s="900"/>
      <c r="W81" s="900"/>
      <c r="X81" s="900"/>
      <c r="Y81" s="904"/>
      <c r="Z81" s="889" t="s">
        <v>2188</v>
      </c>
      <c r="AA81" s="896"/>
      <c r="AB81" s="889"/>
      <c r="AC81" s="889"/>
      <c r="AD81" s="889"/>
    </row>
    <row r="82" spans="1:30" ht="90" customHeight="1">
      <c r="A82" s="902"/>
      <c r="B82" s="905">
        <v>65</v>
      </c>
      <c r="C82" s="900" t="s">
        <v>2172</v>
      </c>
      <c r="D82" s="912"/>
      <c r="E82" s="900"/>
      <c r="F82" s="900"/>
      <c r="G82" s="900"/>
      <c r="H82" s="917"/>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3" t="str">
        <f t="shared" ref="L82:L101" si="16">IF(I82=0,"",I82)</f>
        <v>10</v>
      </c>
      <c r="M82" s="90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15" t="s">
        <v>152</v>
      </c>
      <c r="P82" s="915"/>
      <c r="Q82" s="915"/>
      <c r="R82" s="915"/>
      <c r="S82" s="915"/>
      <c r="T82" s="900" t="s">
        <v>2189</v>
      </c>
      <c r="U82" s="900"/>
      <c r="V82" s="900"/>
      <c r="W82" s="900"/>
      <c r="X82" s="900"/>
      <c r="Y82" s="904"/>
      <c r="Z82" s="889" t="s">
        <v>2190</v>
      </c>
      <c r="AA82" s="896"/>
      <c r="AB82" s="889"/>
      <c r="AC82" s="889"/>
      <c r="AD82" s="889"/>
    </row>
    <row r="83" spans="1:30" ht="9" customHeight="1">
      <c r="A83" s="902"/>
      <c r="B83" s="905">
        <v>66</v>
      </c>
      <c r="C83" s="900"/>
      <c r="D83" s="912"/>
      <c r="E83" s="900"/>
      <c r="F83" s="900"/>
      <c r="G83" s="900"/>
      <c r="H83" s="917"/>
      <c r="I83" s="914" t="str">
        <f t="shared" si="13"/>
        <v>10.1</v>
      </c>
      <c r="J83" s="914" t="str">
        <f t="shared" si="14"/>
        <v xml:space="preserve">По приборам учёта </v>
      </c>
      <c r="K83" s="914">
        <f t="shared" si="15"/>
        <v>0</v>
      </c>
      <c r="L83" s="903" t="str">
        <f t="shared" si="16"/>
        <v>10.1</v>
      </c>
      <c r="M83" s="903" t="str">
        <f t="shared" si="17"/>
        <v xml:space="preserve">По приборам учёта </v>
      </c>
      <c r="N83" s="903" t="str">
        <f t="shared" si="18"/>
        <v/>
      </c>
      <c r="O83" s="915" t="s">
        <v>2078</v>
      </c>
      <c r="P83" s="915"/>
      <c r="Q83" s="915"/>
      <c r="R83" s="915"/>
      <c r="S83" s="915"/>
      <c r="T83" s="900" t="s">
        <v>2191</v>
      </c>
      <c r="U83" s="900"/>
      <c r="V83" s="900"/>
      <c r="W83" s="900"/>
      <c r="X83" s="900"/>
      <c r="Y83" s="904"/>
      <c r="Z83" s="889"/>
      <c r="AA83" s="896"/>
      <c r="AB83" s="889"/>
      <c r="AC83" s="889"/>
      <c r="AD83" s="889"/>
    </row>
    <row r="84" spans="1:30" ht="54" customHeight="1">
      <c r="A84" s="902"/>
      <c r="B84" s="905">
        <v>67</v>
      </c>
      <c r="C84" s="900"/>
      <c r="D84" s="912"/>
      <c r="E84" s="900"/>
      <c r="F84" s="900"/>
      <c r="G84" s="900"/>
      <c r="H84" s="917"/>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903" t="str">
        <f t="shared" si="16"/>
        <v>10.1.1</v>
      </c>
      <c r="M84" s="90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3" t="str">
        <f t="shared" si="18"/>
        <v/>
      </c>
      <c r="O84" s="915" t="s">
        <v>2192</v>
      </c>
      <c r="P84" s="915"/>
      <c r="Q84" s="915"/>
      <c r="R84" s="915"/>
      <c r="S84" s="915"/>
      <c r="T84" s="900" t="s">
        <v>2193</v>
      </c>
      <c r="U84" s="900"/>
      <c r="V84" s="900"/>
      <c r="W84" s="900"/>
      <c r="X84" s="900"/>
      <c r="Y84" s="904"/>
      <c r="Z84" s="889"/>
      <c r="AA84" s="896"/>
      <c r="AB84" s="889"/>
      <c r="AC84" s="889"/>
      <c r="AD84" s="889"/>
    </row>
    <row r="85" spans="1:30" ht="9" customHeight="1">
      <c r="A85" s="902"/>
      <c r="B85" s="905">
        <v>68</v>
      </c>
      <c r="C85" s="900"/>
      <c r="D85" s="912"/>
      <c r="E85" s="900"/>
      <c r="F85" s="900"/>
      <c r="G85" s="900"/>
      <c r="H85" s="917"/>
      <c r="I85" s="914" t="str">
        <f t="shared" si="13"/>
        <v>10.2</v>
      </c>
      <c r="J85" s="914" t="str">
        <f t="shared" si="14"/>
        <v>Расчётным путём</v>
      </c>
      <c r="K85" s="914">
        <f t="shared" si="15"/>
        <v>0</v>
      </c>
      <c r="L85" s="903" t="str">
        <f t="shared" si="16"/>
        <v>10.2</v>
      </c>
      <c r="M85" s="903" t="str">
        <f t="shared" si="17"/>
        <v>Расчётным путём</v>
      </c>
      <c r="N85" s="903" t="str">
        <f t="shared" si="18"/>
        <v/>
      </c>
      <c r="O85" s="915" t="s">
        <v>2082</v>
      </c>
      <c r="P85" s="915"/>
      <c r="Q85" s="915"/>
      <c r="R85" s="915"/>
      <c r="S85" s="915"/>
      <c r="T85" s="900" t="s">
        <v>2194</v>
      </c>
      <c r="U85" s="900"/>
      <c r="V85" s="900"/>
      <c r="W85" s="900"/>
      <c r="X85" s="900"/>
      <c r="Y85" s="904"/>
      <c r="Z85" s="889"/>
      <c r="AA85" s="896"/>
      <c r="AB85" s="889"/>
      <c r="AC85" s="889"/>
      <c r="AD85" s="889"/>
    </row>
    <row r="86" spans="1:30" ht="27" customHeight="1">
      <c r="A86" s="902"/>
      <c r="B86" s="905">
        <v>69</v>
      </c>
      <c r="C86" s="900"/>
      <c r="D86" s="912"/>
      <c r="E86" s="900"/>
      <c r="F86" s="900"/>
      <c r="G86" s="900"/>
      <c r="H86" s="917"/>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903" t="str">
        <f t="shared" si="16"/>
        <v>10.3</v>
      </c>
      <c r="M86" s="903" t="str">
        <f t="shared" si="17"/>
        <v>По нормативам потребления коммунальных услуг и нормативам потребления коммунальных ресурсов</v>
      </c>
      <c r="N86" s="903" t="str">
        <f t="shared" si="18"/>
        <v/>
      </c>
      <c r="O86" s="915" t="s">
        <v>2195</v>
      </c>
      <c r="P86" s="915"/>
      <c r="Q86" s="915"/>
      <c r="R86" s="915"/>
      <c r="S86" s="915"/>
      <c r="T86" s="900" t="s">
        <v>2196</v>
      </c>
      <c r="U86" s="900"/>
      <c r="V86" s="900"/>
      <c r="W86" s="900"/>
      <c r="X86" s="900"/>
      <c r="Y86" s="904"/>
      <c r="Z86" s="889"/>
      <c r="AA86" s="896"/>
      <c r="AB86" s="889"/>
      <c r="AC86" s="889"/>
      <c r="AD86" s="889"/>
    </row>
    <row r="87" spans="1:30" ht="36" customHeight="1">
      <c r="A87" s="902"/>
      <c r="B87" s="905">
        <v>70</v>
      </c>
      <c r="C87" s="900" t="s">
        <v>2197</v>
      </c>
      <c r="D87" s="912"/>
      <c r="E87" s="900"/>
      <c r="F87" s="900"/>
      <c r="G87" s="900"/>
      <c r="H87" s="917"/>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903" t="str">
        <f t="shared" si="16"/>
        <v>11</v>
      </c>
      <c r="M87" s="90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903" t="str">
        <f t="shared" si="18"/>
        <v/>
      </c>
      <c r="O87" s="915" t="s">
        <v>153</v>
      </c>
      <c r="P87" s="915"/>
      <c r="Q87" s="915"/>
      <c r="R87" s="915"/>
      <c r="S87" s="915"/>
      <c r="T87" s="900" t="s">
        <v>2198</v>
      </c>
      <c r="U87" s="900"/>
      <c r="V87" s="900"/>
      <c r="W87" s="900"/>
      <c r="X87" s="900"/>
      <c r="Y87" s="904"/>
      <c r="Z87" s="889"/>
      <c r="AA87" s="896"/>
      <c r="AB87" s="889"/>
      <c r="AC87" s="889"/>
      <c r="AD87" s="889"/>
    </row>
    <row r="88" spans="1:30" ht="18" customHeight="1">
      <c r="A88" s="902"/>
      <c r="B88" s="905">
        <v>71</v>
      </c>
      <c r="C88" s="900" t="s">
        <v>2199</v>
      </c>
      <c r="D88" s="912"/>
      <c r="E88" s="900"/>
      <c r="F88" s="900"/>
      <c r="G88" s="900"/>
      <c r="H88" s="917"/>
      <c r="I88" s="914" t="str">
        <f t="shared" si="13"/>
        <v>12</v>
      </c>
      <c r="J88" s="914" t="str">
        <f t="shared" si="14"/>
        <v>Фактический объем потерь при передаче тепловой энергии</v>
      </c>
      <c r="K88" s="914">
        <f t="shared" si="15"/>
        <v>0</v>
      </c>
      <c r="L88" s="903" t="str">
        <f t="shared" si="16"/>
        <v>12</v>
      </c>
      <c r="M88" s="903" t="str">
        <f t="shared" si="17"/>
        <v>Фактический объем потерь при передаче тепловой энергии</v>
      </c>
      <c r="N88" s="903" t="str">
        <f t="shared" si="18"/>
        <v/>
      </c>
      <c r="O88" s="915" t="s">
        <v>154</v>
      </c>
      <c r="P88" s="915"/>
      <c r="Q88" s="915"/>
      <c r="R88" s="915"/>
      <c r="S88" s="915"/>
      <c r="T88" s="900" t="s">
        <v>667</v>
      </c>
      <c r="U88" s="900"/>
      <c r="V88" s="900"/>
      <c r="W88" s="900"/>
      <c r="X88" s="900"/>
      <c r="Y88" s="904"/>
      <c r="Z88" s="889"/>
      <c r="AA88" s="896"/>
      <c r="AB88" s="889"/>
      <c r="AC88" s="889"/>
      <c r="AD88" s="889"/>
    </row>
    <row r="89" spans="1:30" ht="18" customHeight="1">
      <c r="A89" s="902"/>
      <c r="B89" s="905">
        <v>72</v>
      </c>
      <c r="C89" s="900" t="s">
        <v>2200</v>
      </c>
      <c r="D89" s="912" t="s">
        <v>2197</v>
      </c>
      <c r="E89" s="900" t="s">
        <v>2197</v>
      </c>
      <c r="F89" s="900" t="s">
        <v>2163</v>
      </c>
      <c r="G89" s="900"/>
      <c r="H89" s="917"/>
      <c r="I89" s="914" t="str">
        <f t="shared" si="13"/>
        <v>13</v>
      </c>
      <c r="J89" s="914" t="str">
        <f t="shared" si="14"/>
        <v>Среднесписочная численность основного производственного персонала</v>
      </c>
      <c r="K89" s="914">
        <f t="shared" si="15"/>
        <v>0</v>
      </c>
      <c r="L89" s="903" t="str">
        <f t="shared" si="16"/>
        <v>13</v>
      </c>
      <c r="M89" s="903" t="str">
        <f t="shared" si="17"/>
        <v>Среднесписочная численность основного производственного персонала</v>
      </c>
      <c r="N89" s="903" t="str">
        <f t="shared" si="18"/>
        <v/>
      </c>
      <c r="O89" s="915" t="s">
        <v>155</v>
      </c>
      <c r="P89" s="915" t="s">
        <v>154</v>
      </c>
      <c r="Q89" s="915" t="s">
        <v>154</v>
      </c>
      <c r="R89" s="915" t="s">
        <v>152</v>
      </c>
      <c r="S89" s="915"/>
      <c r="T89" s="900" t="s">
        <v>675</v>
      </c>
      <c r="U89" s="900" t="s">
        <v>675</v>
      </c>
      <c r="V89" s="900" t="s">
        <v>675</v>
      </c>
      <c r="W89" s="900" t="s">
        <v>675</v>
      </c>
      <c r="X89" s="900"/>
      <c r="Y89" s="904"/>
      <c r="Z89" s="889"/>
      <c r="AA89" s="896"/>
      <c r="AB89" s="889"/>
      <c r="AC89" s="889"/>
      <c r="AD89" s="889"/>
    </row>
    <row r="90" spans="1:30" ht="27" customHeight="1">
      <c r="A90" s="902"/>
      <c r="B90" s="905">
        <v>73</v>
      </c>
      <c r="C90" s="900" t="s">
        <v>2201</v>
      </c>
      <c r="D90" s="912"/>
      <c r="E90" s="900"/>
      <c r="F90" s="900"/>
      <c r="G90" s="900"/>
      <c r="H90" s="917"/>
      <c r="I90" s="914" t="str">
        <f t="shared" si="13"/>
        <v>14</v>
      </c>
      <c r="J90" s="914" t="str">
        <f t="shared" si="14"/>
        <v>Среднесписочная численность административно-управленческого персонала</v>
      </c>
      <c r="K90" s="914">
        <f t="shared" si="15"/>
        <v>0</v>
      </c>
      <c r="L90" s="903" t="str">
        <f t="shared" si="16"/>
        <v>14</v>
      </c>
      <c r="M90" s="903" t="str">
        <f t="shared" si="17"/>
        <v>Среднесписочная численность административно-управленческого персонала</v>
      </c>
      <c r="N90" s="903" t="str">
        <f t="shared" si="18"/>
        <v/>
      </c>
      <c r="O90" s="915" t="s">
        <v>156</v>
      </c>
      <c r="P90" s="915"/>
      <c r="Q90" s="915"/>
      <c r="R90" s="915"/>
      <c r="S90" s="915"/>
      <c r="T90" s="900" t="s">
        <v>677</v>
      </c>
      <c r="U90" s="900"/>
      <c r="V90" s="900"/>
      <c r="W90" s="900"/>
      <c r="X90" s="900"/>
      <c r="Y90" s="904"/>
      <c r="Z90" s="889"/>
      <c r="AA90" s="896"/>
      <c r="AB90" s="889"/>
      <c r="AC90" s="889"/>
      <c r="AD90" s="889"/>
    </row>
    <row r="91" spans="1:30" ht="18" customHeight="1">
      <c r="A91" s="902"/>
      <c r="B91" s="905">
        <v>74</v>
      </c>
      <c r="C91" s="900"/>
      <c r="D91" s="912" t="s">
        <v>2199</v>
      </c>
      <c r="E91" s="900" t="s">
        <v>2199</v>
      </c>
      <c r="F91" s="900"/>
      <c r="G91" s="900"/>
      <c r="H91" s="917"/>
      <c r="I91" s="914">
        <f t="shared" si="13"/>
        <v>0</v>
      </c>
      <c r="J91" s="914">
        <f t="shared" si="14"/>
        <v>0</v>
      </c>
      <c r="K91" s="914">
        <f t="shared" si="15"/>
        <v>0</v>
      </c>
      <c r="L91" s="903" t="str">
        <f t="shared" si="16"/>
        <v/>
      </c>
      <c r="M91" s="903" t="str">
        <f t="shared" si="17"/>
        <v/>
      </c>
      <c r="N91" s="903" t="str">
        <f t="shared" si="18"/>
        <v/>
      </c>
      <c r="O91" s="915"/>
      <c r="P91" s="915" t="s">
        <v>155</v>
      </c>
      <c r="Q91" s="915" t="s">
        <v>155</v>
      </c>
      <c r="R91" s="915"/>
      <c r="S91" s="915"/>
      <c r="T91" s="900"/>
      <c r="U91" s="900" t="s">
        <v>2202</v>
      </c>
      <c r="V91" s="900" t="s">
        <v>2202</v>
      </c>
      <c r="W91" s="900"/>
      <c r="X91" s="900"/>
      <c r="Y91" s="904"/>
      <c r="Z91" s="889"/>
      <c r="AA91" s="896"/>
      <c r="AB91" s="889"/>
      <c r="AC91" s="889"/>
      <c r="AD91" s="889"/>
    </row>
    <row r="92" spans="1:30" ht="27" customHeight="1">
      <c r="A92" s="902"/>
      <c r="B92" s="905">
        <v>75</v>
      </c>
      <c r="C92" s="900"/>
      <c r="D92" s="912" t="s">
        <v>2200</v>
      </c>
      <c r="E92" s="900"/>
      <c r="F92" s="900"/>
      <c r="G92" s="900"/>
      <c r="H92" s="917"/>
      <c r="I92" s="914">
        <f t="shared" si="13"/>
        <v>0</v>
      </c>
      <c r="J92" s="914">
        <f t="shared" si="14"/>
        <v>0</v>
      </c>
      <c r="K92" s="914">
        <f t="shared" si="15"/>
        <v>0</v>
      </c>
      <c r="L92" s="903" t="str">
        <f t="shared" si="16"/>
        <v/>
      </c>
      <c r="M92" s="903" t="str">
        <f t="shared" si="17"/>
        <v/>
      </c>
      <c r="N92" s="903" t="str">
        <f t="shared" si="18"/>
        <v/>
      </c>
      <c r="O92" s="915"/>
      <c r="P92" s="915" t="s">
        <v>156</v>
      </c>
      <c r="Q92" s="915"/>
      <c r="R92" s="915"/>
      <c r="S92" s="915"/>
      <c r="T92" s="900"/>
      <c r="U92" s="900" t="s">
        <v>2203</v>
      </c>
      <c r="V92" s="900"/>
      <c r="W92" s="900"/>
      <c r="X92" s="900"/>
      <c r="Y92" s="904"/>
      <c r="Z92" s="889"/>
      <c r="AA92" s="896" t="s">
        <v>2204</v>
      </c>
      <c r="AB92" s="889"/>
      <c r="AC92" s="889"/>
      <c r="AD92" s="889"/>
    </row>
    <row r="93" spans="1:30" ht="27" customHeight="1">
      <c r="A93" s="902"/>
      <c r="B93" s="905">
        <v>76</v>
      </c>
      <c r="C93" s="900"/>
      <c r="D93" s="912"/>
      <c r="E93" s="900"/>
      <c r="F93" s="900"/>
      <c r="G93" s="900"/>
      <c r="H93" s="917"/>
      <c r="I93" s="914">
        <f t="shared" si="13"/>
        <v>0</v>
      </c>
      <c r="J93" s="914">
        <f t="shared" si="14"/>
        <v>0</v>
      </c>
      <c r="K93" s="914">
        <f t="shared" si="15"/>
        <v>0</v>
      </c>
      <c r="L93" s="903" t="str">
        <f t="shared" si="16"/>
        <v/>
      </c>
      <c r="M93" s="903" t="str">
        <f t="shared" si="17"/>
        <v/>
      </c>
      <c r="N93" s="903" t="str">
        <f t="shared" si="18"/>
        <v/>
      </c>
      <c r="O93" s="915"/>
      <c r="P93" s="915" t="s">
        <v>2110</v>
      </c>
      <c r="Q93" s="915"/>
      <c r="R93" s="915"/>
      <c r="S93" s="915"/>
      <c r="T93" s="900"/>
      <c r="U93" s="900" t="s">
        <v>2205</v>
      </c>
      <c r="V93" s="900"/>
      <c r="W93" s="900"/>
      <c r="X93" s="900"/>
      <c r="Y93" s="904"/>
      <c r="Z93" s="889"/>
      <c r="AA93" s="896" t="s">
        <v>2206</v>
      </c>
      <c r="AB93" s="889"/>
      <c r="AC93" s="889"/>
      <c r="AD93" s="889"/>
    </row>
    <row r="94" spans="1:30" ht="45" customHeight="1">
      <c r="A94" s="902"/>
      <c r="B94" s="905">
        <v>77</v>
      </c>
      <c r="C94" s="900"/>
      <c r="D94" s="912" t="s">
        <v>2201</v>
      </c>
      <c r="E94" s="900"/>
      <c r="F94" s="900"/>
      <c r="G94" s="900"/>
      <c r="H94" s="917"/>
      <c r="I94" s="914">
        <f t="shared" si="13"/>
        <v>0</v>
      </c>
      <c r="J94" s="914">
        <f t="shared" si="14"/>
        <v>0</v>
      </c>
      <c r="K94" s="914">
        <f t="shared" si="15"/>
        <v>0</v>
      </c>
      <c r="L94" s="903" t="str">
        <f t="shared" si="16"/>
        <v/>
      </c>
      <c r="M94" s="903" t="str">
        <f t="shared" si="17"/>
        <v/>
      </c>
      <c r="N94" s="903" t="str">
        <f t="shared" si="18"/>
        <v/>
      </c>
      <c r="O94" s="915"/>
      <c r="P94" s="915" t="s">
        <v>1463</v>
      </c>
      <c r="Q94" s="915"/>
      <c r="R94" s="915"/>
      <c r="S94" s="915"/>
      <c r="T94" s="900"/>
      <c r="U94" s="900" t="s">
        <v>2207</v>
      </c>
      <c r="V94" s="900"/>
      <c r="W94" s="900"/>
      <c r="X94" s="900"/>
      <c r="Y94" s="904"/>
      <c r="Z94" s="889"/>
      <c r="AA94" s="896" t="s">
        <v>2208</v>
      </c>
      <c r="AB94" s="889"/>
      <c r="AC94" s="889"/>
      <c r="AD94" s="889"/>
    </row>
    <row r="95" spans="1:30" ht="99" customHeight="1">
      <c r="A95" s="902"/>
      <c r="B95" s="905">
        <v>78</v>
      </c>
      <c r="C95" s="900" t="s">
        <v>2209</v>
      </c>
      <c r="D95" s="912"/>
      <c r="E95" s="900"/>
      <c r="F95" s="900"/>
      <c r="G95" s="900"/>
      <c r="H95" s="917"/>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903" t="str">
        <f t="shared" si="16"/>
        <v>15</v>
      </c>
      <c r="M95" s="90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3" t="str">
        <f t="shared" si="18"/>
        <v/>
      </c>
      <c r="O95" s="915" t="s">
        <v>1463</v>
      </c>
      <c r="P95" s="915"/>
      <c r="Q95" s="915"/>
      <c r="R95" s="915"/>
      <c r="S95" s="915"/>
      <c r="T95" s="900" t="s">
        <v>2210</v>
      </c>
      <c r="U95" s="900"/>
      <c r="V95" s="900"/>
      <c r="W95" s="900"/>
      <c r="X95" s="900"/>
      <c r="Y95" s="904"/>
      <c r="Z95" s="889"/>
      <c r="AA95" s="896"/>
      <c r="AB95" s="889"/>
      <c r="AC95" s="889"/>
      <c r="AD95" s="889"/>
    </row>
    <row r="96" spans="1:30" ht="99" customHeight="1">
      <c r="A96" s="902"/>
      <c r="B96" s="905">
        <v>79</v>
      </c>
      <c r="C96" s="900" t="s">
        <v>1151</v>
      </c>
      <c r="D96" s="912"/>
      <c r="E96" s="900"/>
      <c r="F96" s="900"/>
      <c r="G96" s="900"/>
      <c r="H96" s="917"/>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3" t="str">
        <f t="shared" si="16"/>
        <v>16</v>
      </c>
      <c r="M96" s="90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15" t="s">
        <v>1469</v>
      </c>
      <c r="P96" s="915"/>
      <c r="Q96" s="915"/>
      <c r="R96" s="915"/>
      <c r="S96" s="915"/>
      <c r="T96" s="900" t="s">
        <v>2211</v>
      </c>
      <c r="U96" s="900"/>
      <c r="V96" s="900"/>
      <c r="W96" s="900"/>
      <c r="X96" s="900"/>
      <c r="Y96" s="904"/>
      <c r="Z96" s="889" t="s">
        <v>2212</v>
      </c>
      <c r="AA96" s="896"/>
      <c r="AB96" s="889"/>
      <c r="AC96" s="889"/>
      <c r="AD96" s="889"/>
    </row>
    <row r="97" spans="1:30" ht="63" customHeight="1">
      <c r="A97" s="902"/>
      <c r="B97" s="905">
        <v>80</v>
      </c>
      <c r="C97" s="900" t="s">
        <v>2213</v>
      </c>
      <c r="D97" s="912"/>
      <c r="E97" s="900"/>
      <c r="F97" s="900"/>
      <c r="G97" s="900"/>
      <c r="H97" s="917"/>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903" t="str">
        <f t="shared" si="16"/>
        <v>17</v>
      </c>
      <c r="M97" s="90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3" t="str">
        <f t="shared" si="18"/>
        <v>Регулируемыми организациями указывается информация с по договорам, заключенным в рамках осуществления регулируемой деятельности.</v>
      </c>
      <c r="O97" s="915" t="s">
        <v>1481</v>
      </c>
      <c r="P97" s="915"/>
      <c r="Q97" s="915"/>
      <c r="R97" s="915"/>
      <c r="S97" s="915"/>
      <c r="T97" s="900" t="s">
        <v>2214</v>
      </c>
      <c r="U97" s="900"/>
      <c r="V97" s="900"/>
      <c r="W97" s="900"/>
      <c r="X97" s="900"/>
      <c r="Y97" s="904"/>
      <c r="Z97" s="889" t="s">
        <v>2215</v>
      </c>
      <c r="AA97" s="896"/>
      <c r="AB97" s="889"/>
      <c r="AC97" s="889"/>
      <c r="AD97" s="889"/>
    </row>
    <row r="98" spans="1:30" ht="63" customHeight="1">
      <c r="A98" s="902"/>
      <c r="B98" s="905">
        <v>81</v>
      </c>
      <c r="C98" s="900" t="s">
        <v>2216</v>
      </c>
      <c r="D98" s="912"/>
      <c r="E98" s="900"/>
      <c r="F98" s="900"/>
      <c r="G98" s="900"/>
      <c r="H98" s="917"/>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903" t="str">
        <f t="shared" si="16"/>
        <v>18</v>
      </c>
      <c r="M98" s="90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3" t="str">
        <f t="shared" si="18"/>
        <v>Регулируемыми организациями указывается информация с по договорам, заключенным в рамках осуществления регулируемой деятельности.</v>
      </c>
      <c r="O98" s="915" t="s">
        <v>1495</v>
      </c>
      <c r="P98" s="915"/>
      <c r="Q98" s="915"/>
      <c r="R98" s="915"/>
      <c r="S98" s="915"/>
      <c r="T98" s="900" t="s">
        <v>2217</v>
      </c>
      <c r="U98" s="900"/>
      <c r="V98" s="900"/>
      <c r="W98" s="900"/>
      <c r="X98" s="900"/>
      <c r="Y98" s="904"/>
      <c r="Z98" s="889" t="s">
        <v>2215</v>
      </c>
      <c r="AA98" s="896"/>
      <c r="AB98" s="889"/>
      <c r="AC98" s="889"/>
      <c r="AD98" s="889"/>
    </row>
    <row r="99" spans="1:30" ht="90" customHeight="1">
      <c r="A99" s="902"/>
      <c r="B99" s="905">
        <v>82</v>
      </c>
      <c r="C99" s="900" t="s">
        <v>2218</v>
      </c>
      <c r="D99" s="912"/>
      <c r="E99" s="900"/>
      <c r="F99" s="900"/>
      <c r="G99" s="900"/>
      <c r="H99" s="917"/>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903" t="str">
        <f t="shared" si="16"/>
        <v>19</v>
      </c>
      <c r="M99" s="90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3" t="str">
        <f t="shared" si="18"/>
        <v>Указывается ссылка на документ, предварительно загруженный в хранилище файлов ФГИС ЕИАС.</v>
      </c>
      <c r="O99" s="915" t="s">
        <v>1507</v>
      </c>
      <c r="P99" s="915"/>
      <c r="Q99" s="915"/>
      <c r="R99" s="915"/>
      <c r="S99" s="915"/>
      <c r="T99" s="900" t="s">
        <v>2219</v>
      </c>
      <c r="U99" s="900"/>
      <c r="V99" s="900"/>
      <c r="W99" s="900"/>
      <c r="X99" s="900"/>
      <c r="Y99" s="904"/>
      <c r="Z99" s="889" t="s">
        <v>632</v>
      </c>
      <c r="AA99" s="896"/>
      <c r="AB99" s="889"/>
      <c r="AC99" s="889"/>
      <c r="AD99" s="889"/>
    </row>
    <row r="100" spans="1:30" ht="27" customHeight="1">
      <c r="A100" s="902"/>
      <c r="B100" s="905">
        <v>83</v>
      </c>
      <c r="C100" s="900"/>
      <c r="D100" s="912"/>
      <c r="E100" s="900"/>
      <c r="F100" s="900"/>
      <c r="G100" s="900"/>
      <c r="H100" s="917"/>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903" t="str">
        <f t="shared" si="16"/>
        <v>19.1</v>
      </c>
      <c r="M100" s="903" t="str">
        <f t="shared" si="17"/>
        <v>Информация о показателях физического износа объектов теплоснабжения</v>
      </c>
      <c r="N100" s="903" t="str">
        <f t="shared" si="18"/>
        <v>Указывается ссылка на документ, предварительно загруженный в хранилище файлов ФГИС ЕИАС.</v>
      </c>
      <c r="O100" s="915" t="s">
        <v>2220</v>
      </c>
      <c r="P100" s="915"/>
      <c r="Q100" s="915"/>
      <c r="R100" s="915"/>
      <c r="S100" s="915"/>
      <c r="T100" s="900" t="s">
        <v>2221</v>
      </c>
      <c r="U100" s="900"/>
      <c r="V100" s="900"/>
      <c r="W100" s="900"/>
      <c r="X100" s="900"/>
      <c r="Y100" s="904"/>
      <c r="Z100" s="889" t="s">
        <v>632</v>
      </c>
      <c r="AA100" s="896"/>
      <c r="AB100" s="889"/>
      <c r="AC100" s="889"/>
      <c r="AD100" s="889"/>
    </row>
    <row r="101" spans="1:30" ht="27" customHeight="1">
      <c r="A101" s="902"/>
      <c r="B101" s="905">
        <v>84</v>
      </c>
      <c r="C101" s="900"/>
      <c r="D101" s="912"/>
      <c r="E101" s="900"/>
      <c r="F101" s="900"/>
      <c r="G101" s="900"/>
      <c r="H101" s="917"/>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903" t="str">
        <f t="shared" si="16"/>
        <v>19.2</v>
      </c>
      <c r="M101" s="903" t="str">
        <f t="shared" si="17"/>
        <v>Информация о показателях энергетической эффективности объектов теплоснабжения</v>
      </c>
      <c r="N101" s="903" t="str">
        <f t="shared" si="18"/>
        <v>Указывается ссылка на документ, предварительно загруженный в хранилище файлов ФГИС ЕИАС.</v>
      </c>
      <c r="O101" s="915" t="s">
        <v>2222</v>
      </c>
      <c r="P101" s="915"/>
      <c r="Q101" s="915"/>
      <c r="R101" s="915"/>
      <c r="S101" s="915"/>
      <c r="T101" s="900" t="s">
        <v>2223</v>
      </c>
      <c r="U101" s="900"/>
      <c r="V101" s="900"/>
      <c r="W101" s="900"/>
      <c r="X101" s="900"/>
      <c r="Y101" s="904"/>
      <c r="Z101" s="889" t="s">
        <v>632</v>
      </c>
      <c r="AA101" s="896"/>
      <c r="AB101" s="889"/>
      <c r="AC101" s="889"/>
      <c r="AD101" s="889"/>
    </row>
    <row r="102" spans="1:30" ht="9" customHeight="1">
      <c r="A102" s="902"/>
      <c r="B102" s="902"/>
      <c r="C102" s="900"/>
      <c r="D102" s="900"/>
      <c r="E102" s="900"/>
      <c r="F102" s="900"/>
      <c r="G102" s="900"/>
      <c r="H102" s="917"/>
      <c r="I102" s="917"/>
      <c r="J102" s="917"/>
      <c r="K102" s="917"/>
      <c r="L102" s="917"/>
      <c r="M102" s="900"/>
      <c r="N102" s="922"/>
      <c r="O102" s="915"/>
      <c r="P102" s="915"/>
      <c r="Q102" s="915"/>
      <c r="R102" s="915"/>
      <c r="S102" s="900"/>
      <c r="T102" s="900"/>
      <c r="U102" s="900"/>
      <c r="V102" s="900"/>
      <c r="W102" s="900"/>
      <c r="X102" s="900"/>
      <c r="Y102" s="904"/>
      <c r="Z102" s="889"/>
      <c r="AA102" s="896"/>
      <c r="AB102" s="889"/>
      <c r="AC102" s="889"/>
      <c r="AD102" s="889"/>
    </row>
    <row r="103" spans="1:30" ht="9" customHeight="1">
      <c r="A103" s="902"/>
      <c r="B103" s="902"/>
      <c r="C103" s="900"/>
      <c r="D103" s="900"/>
      <c r="E103" s="900"/>
      <c r="F103" s="900"/>
      <c r="G103" s="900"/>
      <c r="H103" s="917"/>
      <c r="I103" s="917"/>
      <c r="J103" s="917"/>
      <c r="K103" s="917"/>
      <c r="L103" s="917"/>
      <c r="M103" s="900"/>
      <c r="N103" s="922"/>
      <c r="O103" s="915"/>
      <c r="P103" s="915"/>
      <c r="Q103" s="915"/>
      <c r="R103" s="915"/>
      <c r="S103" s="900"/>
      <c r="T103" s="900"/>
      <c r="U103" s="900"/>
      <c r="V103" s="900"/>
      <c r="W103" s="900"/>
      <c r="X103" s="900"/>
      <c r="Y103" s="904"/>
      <c r="Z103" s="889"/>
      <c r="AA103" s="896"/>
      <c r="AB103" s="889"/>
      <c r="AC103" s="889"/>
      <c r="AD103" s="889"/>
    </row>
    <row r="104" spans="1:30" ht="9" customHeight="1">
      <c r="A104" s="902"/>
      <c r="B104" s="902"/>
      <c r="C104" s="900"/>
      <c r="D104" s="900"/>
      <c r="E104" s="900"/>
      <c r="F104" s="900"/>
      <c r="G104" s="900"/>
      <c r="H104" s="917"/>
      <c r="I104" s="917"/>
      <c r="J104" s="917"/>
      <c r="K104" s="917"/>
      <c r="L104" s="917"/>
      <c r="M104" s="900"/>
      <c r="N104" s="922"/>
      <c r="O104" s="915"/>
      <c r="P104" s="915"/>
      <c r="Q104" s="915"/>
      <c r="R104" s="915"/>
      <c r="S104" s="900"/>
      <c r="T104" s="900"/>
      <c r="U104" s="900"/>
      <c r="V104" s="900"/>
      <c r="W104" s="900"/>
      <c r="X104" s="900"/>
      <c r="Y104" s="904"/>
      <c r="Z104" s="889"/>
      <c r="AA104" s="896"/>
      <c r="AB104" s="889"/>
      <c r="AC104" s="889"/>
      <c r="AD104" s="889"/>
    </row>
    <row r="105" spans="1:30" ht="9" customHeight="1">
      <c r="A105" s="902"/>
      <c r="B105" s="902"/>
      <c r="C105" s="900"/>
      <c r="D105" s="900"/>
      <c r="E105" s="900"/>
      <c r="F105" s="900"/>
      <c r="G105" s="900"/>
      <c r="H105" s="917"/>
      <c r="I105" s="917"/>
      <c r="J105" s="917"/>
      <c r="K105" s="917"/>
      <c r="L105" s="917"/>
      <c r="M105" s="900"/>
      <c r="N105" s="922"/>
      <c r="O105" s="915"/>
      <c r="P105" s="915"/>
      <c r="Q105" s="915"/>
      <c r="R105" s="915"/>
      <c r="S105" s="900"/>
      <c r="T105" s="900"/>
      <c r="U105" s="900"/>
      <c r="V105" s="900"/>
      <c r="W105" s="900"/>
      <c r="X105" s="900"/>
      <c r="Y105" s="904"/>
      <c r="Z105" s="889"/>
      <c r="AA105" s="896"/>
      <c r="AB105" s="889"/>
      <c r="AC105" s="889"/>
      <c r="AD105" s="889"/>
    </row>
    <row r="106" spans="1:30" ht="9" customHeight="1">
      <c r="A106" s="902"/>
      <c r="B106" s="902"/>
      <c r="C106" s="900"/>
      <c r="D106" s="900"/>
      <c r="E106" s="900"/>
      <c r="F106" s="900"/>
      <c r="G106" s="900"/>
      <c r="H106" s="917"/>
      <c r="I106" s="917"/>
      <c r="J106" s="917"/>
      <c r="K106" s="917"/>
      <c r="L106" s="917"/>
      <c r="M106" s="900"/>
      <c r="N106" s="922"/>
      <c r="O106" s="915"/>
      <c r="P106" s="915"/>
      <c r="Q106" s="915"/>
      <c r="R106" s="915"/>
      <c r="S106" s="900"/>
      <c r="T106" s="900"/>
      <c r="U106" s="900"/>
      <c r="V106" s="900"/>
      <c r="W106" s="900"/>
      <c r="X106" s="900"/>
      <c r="Y106" s="904"/>
      <c r="Z106" s="889"/>
      <c r="AA106" s="896"/>
      <c r="AB106" s="889"/>
      <c r="AC106" s="889"/>
      <c r="AD106" s="889"/>
    </row>
    <row r="107" spans="1:30" ht="9" customHeight="1">
      <c r="A107" s="902"/>
      <c r="B107" s="902"/>
      <c r="C107" s="900"/>
      <c r="D107" s="900"/>
      <c r="E107" s="900"/>
      <c r="F107" s="900"/>
      <c r="G107" s="900"/>
      <c r="H107" s="917"/>
      <c r="I107" s="917"/>
      <c r="J107" s="917"/>
      <c r="K107" s="917"/>
      <c r="L107" s="917"/>
      <c r="M107" s="900"/>
      <c r="N107" s="922"/>
      <c r="O107" s="915"/>
      <c r="P107" s="915"/>
      <c r="Q107" s="915"/>
      <c r="R107" s="915"/>
      <c r="S107" s="900"/>
      <c r="T107" s="900"/>
      <c r="U107" s="900"/>
      <c r="V107" s="900"/>
      <c r="W107" s="900"/>
      <c r="X107" s="900"/>
      <c r="Y107" s="904"/>
      <c r="Z107" s="889"/>
      <c r="AA107" s="896"/>
      <c r="AB107" s="889"/>
      <c r="AC107" s="889"/>
      <c r="AD107" s="889"/>
    </row>
    <row r="108" spans="1:30" ht="9" customHeight="1">
      <c r="A108" s="902"/>
      <c r="B108" s="902"/>
      <c r="C108" s="900"/>
      <c r="D108" s="900"/>
      <c r="E108" s="900"/>
      <c r="F108" s="900"/>
      <c r="G108" s="900"/>
      <c r="H108" s="917"/>
      <c r="I108" s="917"/>
      <c r="J108" s="917"/>
      <c r="K108" s="917"/>
      <c r="L108" s="917"/>
      <c r="M108" s="900"/>
      <c r="N108" s="922"/>
      <c r="O108" s="915"/>
      <c r="P108" s="915"/>
      <c r="Q108" s="915"/>
      <c r="R108" s="915"/>
      <c r="S108" s="900"/>
      <c r="T108" s="900"/>
      <c r="U108" s="900"/>
      <c r="V108" s="900"/>
      <c r="W108" s="900"/>
      <c r="X108" s="900"/>
      <c r="Y108" s="904"/>
      <c r="Z108" s="889"/>
      <c r="AA108" s="896"/>
      <c r="AB108" s="889"/>
      <c r="AC108" s="889"/>
      <c r="AD108" s="889"/>
    </row>
    <row r="109" spans="1:30" ht="9" customHeight="1">
      <c r="A109" s="902"/>
      <c r="B109" s="902"/>
      <c r="C109" s="900"/>
      <c r="D109" s="900"/>
      <c r="E109" s="900"/>
      <c r="F109" s="900"/>
      <c r="G109" s="900"/>
      <c r="H109" s="917"/>
      <c r="I109" s="917"/>
      <c r="J109" s="917"/>
      <c r="K109" s="917"/>
      <c r="L109" s="917"/>
      <c r="M109" s="900"/>
      <c r="N109" s="922"/>
      <c r="O109" s="915"/>
      <c r="P109" s="915"/>
      <c r="Q109" s="915"/>
      <c r="R109" s="915"/>
      <c r="S109" s="900"/>
      <c r="T109" s="900"/>
      <c r="U109" s="900"/>
      <c r="V109" s="900"/>
      <c r="W109" s="900"/>
      <c r="X109" s="900"/>
      <c r="Y109" s="904"/>
      <c r="Z109" s="889"/>
      <c r="AA109" s="896"/>
      <c r="AB109" s="889"/>
      <c r="AC109" s="889"/>
      <c r="AD109" s="889"/>
    </row>
    <row r="110" spans="1:30" ht="9" customHeight="1">
      <c r="A110" s="902"/>
      <c r="B110" s="902"/>
      <c r="C110" s="900"/>
      <c r="D110" s="900"/>
      <c r="E110" s="900"/>
      <c r="F110" s="900"/>
      <c r="G110" s="900"/>
      <c r="H110" s="917"/>
      <c r="I110" s="917"/>
      <c r="J110" s="917"/>
      <c r="K110" s="917"/>
      <c r="L110" s="917"/>
      <c r="M110" s="900"/>
      <c r="N110" s="922"/>
      <c r="O110" s="915"/>
      <c r="P110" s="915"/>
      <c r="Q110" s="915"/>
      <c r="R110" s="915"/>
      <c r="S110" s="900"/>
      <c r="T110" s="900"/>
      <c r="U110" s="900"/>
      <c r="V110" s="900"/>
      <c r="W110" s="900"/>
      <c r="X110" s="900"/>
      <c r="Y110" s="904"/>
      <c r="Z110" s="889"/>
      <c r="AA110" s="896"/>
      <c r="AB110" s="889"/>
      <c r="AC110" s="889"/>
      <c r="AD110" s="889"/>
    </row>
    <row r="111" spans="1:30" ht="9" customHeight="1">
      <c r="A111" s="902"/>
      <c r="B111" s="902"/>
      <c r="C111" s="900"/>
      <c r="D111" s="900"/>
      <c r="E111" s="900"/>
      <c r="F111" s="900"/>
      <c r="G111" s="900"/>
      <c r="H111" s="917"/>
      <c r="I111" s="917"/>
      <c r="J111" s="917"/>
      <c r="K111" s="917"/>
      <c r="L111" s="917"/>
      <c r="M111" s="900"/>
      <c r="N111" s="922"/>
      <c r="O111" s="915"/>
      <c r="P111" s="915"/>
      <c r="Q111" s="915"/>
      <c r="R111" s="915"/>
      <c r="S111" s="900"/>
      <c r="T111" s="900"/>
      <c r="U111" s="900"/>
      <c r="V111" s="900"/>
      <c r="W111" s="900"/>
      <c r="X111" s="900"/>
      <c r="Y111" s="904"/>
      <c r="Z111" s="889"/>
      <c r="AA111" s="896"/>
      <c r="AB111" s="889"/>
      <c r="AC111" s="889"/>
      <c r="AD111" s="889"/>
    </row>
    <row r="112" spans="1:30" ht="9" customHeight="1">
      <c r="A112" s="902"/>
      <c r="B112" s="902"/>
      <c r="C112" s="900"/>
      <c r="D112" s="900"/>
      <c r="E112" s="900"/>
      <c r="F112" s="900"/>
      <c r="G112" s="900"/>
      <c r="H112" s="917"/>
      <c r="I112" s="917"/>
      <c r="J112" s="917"/>
      <c r="K112" s="917"/>
      <c r="L112" s="917"/>
      <c r="M112" s="900"/>
      <c r="N112" s="922"/>
      <c r="O112" s="915"/>
      <c r="P112" s="915"/>
      <c r="Q112" s="915"/>
      <c r="R112" s="915"/>
      <c r="S112" s="900"/>
      <c r="T112" s="900"/>
      <c r="U112" s="900"/>
      <c r="V112" s="900"/>
      <c r="W112" s="900"/>
      <c r="X112" s="900"/>
      <c r="Y112" s="904"/>
      <c r="Z112" s="889"/>
      <c r="AA112" s="896"/>
      <c r="AB112" s="889"/>
      <c r="AC112" s="889"/>
      <c r="AD112" s="889"/>
    </row>
    <row r="113" spans="1:30" ht="9" customHeight="1">
      <c r="A113" s="902"/>
      <c r="B113" s="902"/>
      <c r="C113" s="900"/>
      <c r="D113" s="900"/>
      <c r="E113" s="900"/>
      <c r="F113" s="900"/>
      <c r="G113" s="900"/>
      <c r="H113" s="917"/>
      <c r="I113" s="917"/>
      <c r="J113" s="917"/>
      <c r="K113" s="917"/>
      <c r="L113" s="917"/>
      <c r="M113" s="900"/>
      <c r="N113" s="922"/>
      <c r="O113" s="915"/>
      <c r="P113" s="915"/>
      <c r="Q113" s="915"/>
      <c r="R113" s="915"/>
      <c r="S113" s="900"/>
      <c r="T113" s="900"/>
      <c r="U113" s="900"/>
      <c r="V113" s="900"/>
      <c r="W113" s="900"/>
      <c r="X113" s="900"/>
      <c r="Y113" s="904"/>
      <c r="Z113" s="889"/>
      <c r="AA113" s="896"/>
      <c r="AB113" s="889"/>
      <c r="AC113" s="889"/>
      <c r="AD113" s="889"/>
    </row>
    <row r="114" spans="1:30" ht="9" customHeight="1">
      <c r="A114" s="902"/>
      <c r="B114" s="902"/>
      <c r="C114" s="900"/>
      <c r="D114" s="900"/>
      <c r="E114" s="900"/>
      <c r="F114" s="900"/>
      <c r="G114" s="900"/>
      <c r="H114" s="917"/>
      <c r="I114" s="917"/>
      <c r="J114" s="917"/>
      <c r="K114" s="917"/>
      <c r="L114" s="917"/>
      <c r="M114" s="900"/>
      <c r="N114" s="922"/>
      <c r="O114" s="915"/>
      <c r="P114" s="915"/>
      <c r="Q114" s="915"/>
      <c r="R114" s="915"/>
      <c r="S114" s="900"/>
      <c r="T114" s="900"/>
      <c r="U114" s="900"/>
      <c r="V114" s="900"/>
      <c r="W114" s="900"/>
      <c r="X114" s="900"/>
      <c r="Y114" s="904"/>
      <c r="Z114" s="889"/>
      <c r="AA114" s="896"/>
      <c r="AB114" s="889"/>
      <c r="AC114" s="889"/>
      <c r="AD114" s="889"/>
    </row>
    <row r="115" spans="1:30" ht="9" customHeight="1">
      <c r="A115" s="902"/>
      <c r="B115" s="902"/>
      <c r="C115" s="900"/>
      <c r="D115" s="900"/>
      <c r="E115" s="900"/>
      <c r="F115" s="900"/>
      <c r="G115" s="900"/>
      <c r="H115" s="917"/>
      <c r="I115" s="917"/>
      <c r="J115" s="917"/>
      <c r="K115" s="917"/>
      <c r="L115" s="917"/>
      <c r="M115" s="900"/>
      <c r="N115" s="922"/>
      <c r="O115" s="915"/>
      <c r="P115" s="915"/>
      <c r="Q115" s="915"/>
      <c r="R115" s="915"/>
      <c r="S115" s="900"/>
      <c r="T115" s="900"/>
      <c r="U115" s="900"/>
      <c r="V115" s="900"/>
      <c r="W115" s="900"/>
      <c r="X115" s="900"/>
      <c r="Y115" s="904"/>
      <c r="Z115" s="889"/>
      <c r="AA115" s="896"/>
      <c r="AB115" s="889"/>
      <c r="AC115" s="889"/>
      <c r="AD115" s="889"/>
    </row>
    <row r="116" spans="1:30" ht="9" customHeight="1">
      <c r="A116" s="902"/>
      <c r="B116" s="902"/>
      <c r="C116" s="900"/>
      <c r="D116" s="900"/>
      <c r="E116" s="900"/>
      <c r="F116" s="900"/>
      <c r="G116" s="900"/>
      <c r="H116" s="917"/>
      <c r="I116" s="917"/>
      <c r="J116" s="917"/>
      <c r="K116" s="917"/>
      <c r="L116" s="917"/>
      <c r="M116" s="900"/>
      <c r="N116" s="922"/>
      <c r="O116" s="915"/>
      <c r="P116" s="915"/>
      <c r="Q116" s="915"/>
      <c r="R116" s="915"/>
      <c r="S116" s="900"/>
      <c r="T116" s="900"/>
      <c r="U116" s="900"/>
      <c r="V116" s="900"/>
      <c r="W116" s="900"/>
      <c r="X116" s="900"/>
      <c r="Y116" s="904"/>
      <c r="Z116" s="889"/>
      <c r="AA116" s="896"/>
      <c r="AB116" s="889"/>
      <c r="AC116" s="889"/>
      <c r="AD116" s="889"/>
    </row>
    <row r="117" spans="1:30" ht="9" customHeight="1">
      <c r="A117" s="902"/>
      <c r="B117" s="902"/>
      <c r="C117" s="900"/>
      <c r="D117" s="900"/>
      <c r="E117" s="900"/>
      <c r="F117" s="900"/>
      <c r="G117" s="900"/>
      <c r="H117" s="917"/>
      <c r="I117" s="917"/>
      <c r="J117" s="917"/>
      <c r="K117" s="917"/>
      <c r="L117" s="917"/>
      <c r="M117" s="900"/>
      <c r="N117" s="922"/>
      <c r="O117" s="915"/>
      <c r="P117" s="915"/>
      <c r="Q117" s="915"/>
      <c r="R117" s="915"/>
      <c r="S117" s="900"/>
      <c r="T117" s="900"/>
      <c r="U117" s="900"/>
      <c r="V117" s="900"/>
      <c r="W117" s="900"/>
      <c r="X117" s="900"/>
      <c r="Y117" s="904"/>
      <c r="Z117" s="889"/>
      <c r="AA117" s="896"/>
      <c r="AB117" s="889"/>
      <c r="AC117" s="889"/>
      <c r="AD117" s="889"/>
    </row>
    <row r="118" spans="1:30" ht="9" customHeight="1">
      <c r="A118" s="902"/>
      <c r="B118" s="902"/>
      <c r="C118" s="900"/>
      <c r="D118" s="900"/>
      <c r="E118" s="900"/>
      <c r="F118" s="900"/>
      <c r="G118" s="900"/>
      <c r="H118" s="917"/>
      <c r="I118" s="917"/>
      <c r="J118" s="917"/>
      <c r="K118" s="917"/>
      <c r="L118" s="917"/>
      <c r="M118" s="900"/>
      <c r="N118" s="922"/>
      <c r="O118" s="915"/>
      <c r="P118" s="915"/>
      <c r="Q118" s="915"/>
      <c r="R118" s="915"/>
      <c r="S118" s="900"/>
      <c r="T118" s="900"/>
      <c r="U118" s="900"/>
      <c r="V118" s="900"/>
      <c r="W118" s="900"/>
      <c r="X118" s="900"/>
      <c r="Y118" s="904"/>
      <c r="Z118" s="889"/>
      <c r="AA118" s="896"/>
      <c r="AB118" s="889"/>
      <c r="AC118" s="889"/>
      <c r="AD118" s="889"/>
    </row>
    <row r="119" spans="1:30" ht="9" customHeight="1">
      <c r="A119" s="902"/>
      <c r="B119" s="902"/>
      <c r="C119" s="900"/>
      <c r="D119" s="900"/>
      <c r="E119" s="900"/>
      <c r="F119" s="900"/>
      <c r="G119" s="900"/>
      <c r="H119" s="917"/>
      <c r="I119" s="917"/>
      <c r="J119" s="917"/>
      <c r="K119" s="917"/>
      <c r="L119" s="917"/>
      <c r="M119" s="900"/>
      <c r="N119" s="922"/>
      <c r="O119" s="915"/>
      <c r="P119" s="915"/>
      <c r="Q119" s="915"/>
      <c r="R119" s="915"/>
      <c r="S119" s="900"/>
      <c r="T119" s="900"/>
      <c r="U119" s="900"/>
      <c r="V119" s="900"/>
      <c r="W119" s="900"/>
      <c r="X119" s="900"/>
      <c r="Y119" s="904"/>
      <c r="Z119" s="889"/>
      <c r="AA119" s="896"/>
      <c r="AB119" s="889"/>
      <c r="AC119" s="889"/>
      <c r="AD119" s="889"/>
    </row>
    <row r="120" spans="1:30" ht="9" customHeight="1">
      <c r="A120" s="902"/>
      <c r="B120" s="902"/>
      <c r="C120" s="900"/>
      <c r="D120" s="900"/>
      <c r="E120" s="900"/>
      <c r="F120" s="900"/>
      <c r="G120" s="900"/>
      <c r="H120" s="917"/>
      <c r="I120" s="917"/>
      <c r="J120" s="917"/>
      <c r="K120" s="917"/>
      <c r="L120" s="917"/>
      <c r="M120" s="900"/>
      <c r="N120" s="922"/>
      <c r="O120" s="915"/>
      <c r="P120" s="915"/>
      <c r="Q120" s="915"/>
      <c r="R120" s="915"/>
      <c r="S120" s="900"/>
      <c r="T120" s="900"/>
      <c r="U120" s="900"/>
      <c r="V120" s="900"/>
      <c r="W120" s="900"/>
      <c r="X120" s="900"/>
      <c r="Y120" s="904"/>
      <c r="Z120" s="889"/>
      <c r="AA120" s="896"/>
      <c r="AB120" s="889"/>
      <c r="AC120" s="889"/>
      <c r="AD120" s="889"/>
    </row>
    <row r="121" spans="1:30" ht="9" customHeight="1">
      <c r="A121" s="902"/>
      <c r="B121" s="902"/>
      <c r="C121" s="900"/>
      <c r="D121" s="900"/>
      <c r="E121" s="900"/>
      <c r="F121" s="900"/>
      <c r="G121" s="900"/>
      <c r="H121" s="917"/>
      <c r="I121" s="917"/>
      <c r="J121" s="917"/>
      <c r="K121" s="917"/>
      <c r="L121" s="917"/>
      <c r="M121" s="900"/>
      <c r="N121" s="922"/>
      <c r="O121" s="915"/>
      <c r="P121" s="915"/>
      <c r="Q121" s="915"/>
      <c r="R121" s="915"/>
      <c r="S121" s="900"/>
      <c r="T121" s="900"/>
      <c r="U121" s="900"/>
      <c r="V121" s="900"/>
      <c r="W121" s="900"/>
      <c r="X121" s="900"/>
      <c r="Y121" s="904"/>
      <c r="Z121" s="889"/>
      <c r="AA121" s="896"/>
      <c r="AB121" s="889"/>
      <c r="AC121" s="889"/>
      <c r="AD121" s="889"/>
    </row>
    <row r="122" spans="1:30" ht="9" customHeight="1">
      <c r="A122" s="902"/>
      <c r="B122" s="902"/>
      <c r="C122" s="900"/>
      <c r="D122" s="900"/>
      <c r="E122" s="900"/>
      <c r="F122" s="900"/>
      <c r="G122" s="900"/>
      <c r="H122" s="917"/>
      <c r="I122" s="917"/>
      <c r="J122" s="917"/>
      <c r="K122" s="917"/>
      <c r="L122" s="917"/>
      <c r="M122" s="900"/>
      <c r="N122" s="922"/>
      <c r="O122" s="915"/>
      <c r="P122" s="915"/>
      <c r="Q122" s="915"/>
      <c r="R122" s="915"/>
      <c r="S122" s="900"/>
      <c r="T122" s="900"/>
      <c r="U122" s="900"/>
      <c r="V122" s="900"/>
      <c r="W122" s="900"/>
      <c r="X122" s="900"/>
      <c r="Y122" s="904"/>
      <c r="Z122" s="889"/>
      <c r="AA122" s="896"/>
      <c r="AB122" s="889"/>
      <c r="AC122" s="889"/>
      <c r="AD122" s="889"/>
    </row>
    <row r="123" spans="1:30" ht="9" customHeight="1">
      <c r="A123" s="902"/>
      <c r="B123" s="902"/>
      <c r="C123" s="900"/>
      <c r="D123" s="900"/>
      <c r="E123" s="900"/>
      <c r="F123" s="900"/>
      <c r="G123" s="900"/>
      <c r="H123" s="917"/>
      <c r="I123" s="917"/>
      <c r="J123" s="917"/>
      <c r="K123" s="917"/>
      <c r="L123" s="917"/>
      <c r="M123" s="900"/>
      <c r="N123" s="922"/>
      <c r="O123" s="915"/>
      <c r="P123" s="915"/>
      <c r="Q123" s="915"/>
      <c r="R123" s="915"/>
      <c r="S123" s="900"/>
      <c r="T123" s="900"/>
      <c r="U123" s="900"/>
      <c r="V123" s="900"/>
      <c r="W123" s="900"/>
      <c r="X123" s="900"/>
      <c r="Y123" s="904"/>
      <c r="Z123" s="889"/>
      <c r="AA123" s="896"/>
      <c r="AB123" s="889"/>
      <c r="AC123" s="889"/>
      <c r="AD123" s="889"/>
    </row>
    <row r="124" spans="1:30" ht="9" customHeight="1">
      <c r="A124" s="902"/>
      <c r="B124" s="902"/>
      <c r="C124" s="900"/>
      <c r="D124" s="900"/>
      <c r="E124" s="900"/>
      <c r="F124" s="900"/>
      <c r="G124" s="900"/>
      <c r="H124" s="917"/>
      <c r="I124" s="917"/>
      <c r="J124" s="917"/>
      <c r="K124" s="917"/>
      <c r="L124" s="917"/>
      <c r="M124" s="900"/>
      <c r="N124" s="922"/>
      <c r="O124" s="915"/>
      <c r="P124" s="915"/>
      <c r="Q124" s="915"/>
      <c r="R124" s="915"/>
      <c r="S124" s="900"/>
      <c r="T124" s="900"/>
      <c r="U124" s="900"/>
      <c r="V124" s="900"/>
      <c r="W124" s="900"/>
      <c r="X124" s="900"/>
      <c r="Y124" s="904"/>
      <c r="Z124" s="889"/>
      <c r="AA124" s="896"/>
      <c r="AB124" s="889"/>
      <c r="AC124" s="889"/>
      <c r="AD124" s="889"/>
    </row>
    <row r="125" spans="1:30" ht="9" customHeight="1">
      <c r="A125" s="902"/>
      <c r="B125" s="902"/>
      <c r="C125" s="900"/>
      <c r="D125" s="900"/>
      <c r="E125" s="900"/>
      <c r="F125" s="900"/>
      <c r="G125" s="900"/>
      <c r="H125" s="917"/>
      <c r="I125" s="917"/>
      <c r="J125" s="917"/>
      <c r="K125" s="917"/>
      <c r="L125" s="917"/>
      <c r="M125" s="900"/>
      <c r="N125" s="922"/>
      <c r="O125" s="915"/>
      <c r="P125" s="915"/>
      <c r="Q125" s="915"/>
      <c r="R125" s="915"/>
      <c r="S125" s="900"/>
      <c r="T125" s="900"/>
      <c r="U125" s="900"/>
      <c r="V125" s="900"/>
      <c r="W125" s="900"/>
      <c r="X125" s="900"/>
      <c r="Y125" s="904"/>
      <c r="Z125" s="889"/>
      <c r="AA125" s="896"/>
      <c r="AB125" s="889"/>
      <c r="AC125" s="889"/>
      <c r="AD125" s="889"/>
    </row>
    <row r="126" spans="1:30" ht="9" customHeight="1">
      <c r="A126" s="902"/>
      <c r="B126" s="902"/>
      <c r="C126" s="900"/>
      <c r="D126" s="900"/>
      <c r="E126" s="900"/>
      <c r="F126" s="900"/>
      <c r="G126" s="900"/>
      <c r="H126" s="917"/>
      <c r="I126" s="917"/>
      <c r="J126" s="917"/>
      <c r="K126" s="917"/>
      <c r="L126" s="917"/>
      <c r="M126" s="900"/>
      <c r="N126" s="922"/>
      <c r="O126" s="915"/>
      <c r="P126" s="915"/>
      <c r="Q126" s="915"/>
      <c r="R126" s="915"/>
      <c r="S126" s="900"/>
      <c r="T126" s="900"/>
      <c r="U126" s="900"/>
      <c r="V126" s="900"/>
      <c r="W126" s="900"/>
      <c r="X126" s="900"/>
      <c r="Y126" s="904"/>
      <c r="Z126" s="889"/>
      <c r="AA126" s="896"/>
      <c r="AB126" s="889"/>
      <c r="AC126" s="889"/>
      <c r="AD126" s="889"/>
    </row>
    <row r="127" spans="1:30" ht="9" customHeight="1">
      <c r="A127" s="902"/>
      <c r="B127" s="902"/>
      <c r="C127" s="900"/>
      <c r="D127" s="900"/>
      <c r="E127" s="900"/>
      <c r="F127" s="900"/>
      <c r="G127" s="900"/>
      <c r="H127" s="917"/>
      <c r="I127" s="917"/>
      <c r="J127" s="917"/>
      <c r="K127" s="917"/>
      <c r="L127" s="917"/>
      <c r="M127" s="900"/>
      <c r="N127" s="922"/>
      <c r="O127" s="915"/>
      <c r="P127" s="915"/>
      <c r="Q127" s="915"/>
      <c r="R127" s="915"/>
      <c r="S127" s="900"/>
      <c r="T127" s="900"/>
      <c r="U127" s="900"/>
      <c r="V127" s="900"/>
      <c r="W127" s="900"/>
      <c r="X127" s="900"/>
      <c r="Y127" s="904"/>
      <c r="Z127" s="889"/>
      <c r="AA127" s="896"/>
      <c r="AB127" s="889"/>
      <c r="AC127" s="889"/>
      <c r="AD127" s="889"/>
    </row>
    <row r="128" spans="1:30" ht="9" customHeight="1">
      <c r="A128" s="902"/>
      <c r="B128" s="902"/>
      <c r="C128" s="900"/>
      <c r="D128" s="900"/>
      <c r="E128" s="900"/>
      <c r="F128" s="900"/>
      <c r="G128" s="900"/>
      <c r="H128" s="917"/>
      <c r="I128" s="917"/>
      <c r="J128" s="917"/>
      <c r="K128" s="917"/>
      <c r="L128" s="917"/>
      <c r="M128" s="900"/>
      <c r="N128" s="922"/>
      <c r="O128" s="915"/>
      <c r="P128" s="915"/>
      <c r="Q128" s="915"/>
      <c r="R128" s="915"/>
      <c r="S128" s="900"/>
      <c r="T128" s="900"/>
      <c r="U128" s="900"/>
      <c r="V128" s="900"/>
      <c r="W128" s="900"/>
      <c r="X128" s="900"/>
      <c r="Y128" s="904"/>
      <c r="Z128" s="889"/>
      <c r="AA128" s="896"/>
      <c r="AB128" s="889"/>
      <c r="AC128" s="889"/>
      <c r="AD128" s="889"/>
    </row>
    <row r="129" spans="1:30" ht="9" customHeight="1">
      <c r="A129" s="902"/>
      <c r="B129" s="902"/>
      <c r="C129" s="900"/>
      <c r="D129" s="900"/>
      <c r="E129" s="900"/>
      <c r="F129" s="900"/>
      <c r="G129" s="900"/>
      <c r="H129" s="917"/>
      <c r="I129" s="917"/>
      <c r="J129" s="917"/>
      <c r="K129" s="917"/>
      <c r="L129" s="917"/>
      <c r="M129" s="900"/>
      <c r="N129" s="922"/>
      <c r="O129" s="915"/>
      <c r="P129" s="915"/>
      <c r="Q129" s="915"/>
      <c r="R129" s="915"/>
      <c r="S129" s="900"/>
      <c r="T129" s="900"/>
      <c r="U129" s="900"/>
      <c r="V129" s="900"/>
      <c r="W129" s="900"/>
      <c r="X129" s="900"/>
      <c r="Y129" s="904"/>
      <c r="Z129" s="889"/>
      <c r="AA129" s="896"/>
      <c r="AB129" s="889"/>
      <c r="AC129" s="889"/>
      <c r="AD129" s="889"/>
    </row>
    <row r="130" spans="1:30" ht="9" customHeight="1">
      <c r="A130" s="902"/>
      <c r="B130" s="902"/>
      <c r="C130" s="900"/>
      <c r="D130" s="900"/>
      <c r="E130" s="900"/>
      <c r="F130" s="900"/>
      <c r="G130" s="900"/>
      <c r="H130" s="917"/>
      <c r="I130" s="917"/>
      <c r="J130" s="917"/>
      <c r="K130" s="917"/>
      <c r="L130" s="917"/>
      <c r="M130" s="900"/>
      <c r="N130" s="922"/>
      <c r="O130" s="923"/>
      <c r="P130" s="923"/>
      <c r="Q130" s="923"/>
      <c r="R130" s="923"/>
      <c r="S130" s="900"/>
      <c r="T130" s="900"/>
      <c r="U130" s="900"/>
      <c r="V130" s="900"/>
      <c r="W130" s="900"/>
      <c r="X130" s="900"/>
      <c r="Y130" s="904"/>
      <c r="Z130" s="889"/>
      <c r="AA130" s="896"/>
      <c r="AB130" s="889"/>
      <c r="AC130" s="889"/>
      <c r="AD130" s="889"/>
    </row>
    <row r="131" spans="1:30" ht="9" customHeight="1">
      <c r="A131" s="902"/>
      <c r="B131" s="902"/>
      <c r="C131" s="900"/>
      <c r="D131" s="900"/>
      <c r="E131" s="900"/>
      <c r="F131" s="900"/>
      <c r="G131" s="900"/>
      <c r="H131" s="917"/>
      <c r="I131" s="917"/>
      <c r="J131" s="917"/>
      <c r="K131" s="917"/>
      <c r="L131" s="917"/>
      <c r="M131" s="900"/>
      <c r="N131" s="922"/>
      <c r="O131" s="924"/>
      <c r="P131" s="924"/>
      <c r="Q131" s="924"/>
      <c r="R131" s="924"/>
      <c r="S131" s="900"/>
      <c r="T131" s="900"/>
      <c r="U131" s="900"/>
      <c r="V131" s="900"/>
      <c r="W131" s="900"/>
      <c r="X131" s="900"/>
      <c r="Y131" s="904"/>
      <c r="Z131" s="889"/>
      <c r="AA131" s="896"/>
      <c r="AB131" s="889"/>
      <c r="AC131" s="889"/>
      <c r="AD131" s="889"/>
    </row>
    <row r="132" spans="1:30" ht="9" customHeight="1">
      <c r="A132" s="902"/>
      <c r="B132" s="902"/>
      <c r="C132" s="900"/>
      <c r="D132" s="900"/>
      <c r="E132" s="900"/>
      <c r="F132" s="900"/>
      <c r="G132" s="900"/>
      <c r="H132" s="917"/>
      <c r="I132" s="917"/>
      <c r="J132" s="917"/>
      <c r="K132" s="917"/>
      <c r="L132" s="917"/>
      <c r="M132" s="900"/>
      <c r="N132" s="922"/>
      <c r="O132" s="923"/>
      <c r="P132" s="923"/>
      <c r="Q132" s="923"/>
      <c r="R132" s="923"/>
      <c r="S132" s="900"/>
      <c r="T132" s="900"/>
      <c r="U132" s="900"/>
      <c r="V132" s="900"/>
      <c r="W132" s="900"/>
      <c r="X132" s="900"/>
      <c r="Y132" s="904"/>
      <c r="Z132" s="889"/>
      <c r="AA132" s="896"/>
      <c r="AB132" s="889"/>
      <c r="AC132" s="889"/>
      <c r="AD132" s="889"/>
    </row>
    <row r="133" spans="1:30" ht="9" customHeight="1">
      <c r="A133" s="902"/>
      <c r="B133" s="902"/>
      <c r="C133" s="900"/>
      <c r="D133" s="900"/>
      <c r="E133" s="900"/>
      <c r="F133" s="900"/>
      <c r="G133" s="900"/>
      <c r="H133" s="917"/>
      <c r="I133" s="917"/>
      <c r="J133" s="917"/>
      <c r="K133" s="917"/>
      <c r="L133" s="917"/>
      <c r="M133" s="900"/>
      <c r="N133" s="922"/>
      <c r="O133" s="924"/>
      <c r="P133" s="924"/>
      <c r="Q133" s="924"/>
      <c r="R133" s="924"/>
      <c r="S133" s="900"/>
      <c r="T133" s="900"/>
      <c r="U133" s="900"/>
      <c r="V133" s="900"/>
      <c r="W133" s="900"/>
      <c r="X133" s="900"/>
      <c r="Y133" s="904"/>
      <c r="Z133" s="889"/>
      <c r="AA133" s="896"/>
      <c r="AB133" s="889"/>
      <c r="AC133" s="889"/>
      <c r="AD133" s="889"/>
    </row>
    <row r="134" spans="1:30" ht="9" customHeight="1">
      <c r="A134" s="902"/>
      <c r="B134" s="902"/>
      <c r="C134" s="900"/>
      <c r="D134" s="900"/>
      <c r="E134" s="900"/>
      <c r="F134" s="900"/>
      <c r="G134" s="900"/>
      <c r="H134" s="917"/>
      <c r="I134" s="917"/>
      <c r="J134" s="917"/>
      <c r="K134" s="917"/>
      <c r="L134" s="917"/>
      <c r="M134" s="900"/>
      <c r="N134" s="922"/>
      <c r="O134" s="915"/>
      <c r="P134" s="915"/>
      <c r="Q134" s="915"/>
      <c r="R134" s="915"/>
      <c r="S134" s="900"/>
      <c r="T134" s="900"/>
      <c r="U134" s="900"/>
      <c r="V134" s="900"/>
      <c r="W134" s="900"/>
      <c r="X134" s="900"/>
      <c r="Y134" s="904"/>
      <c r="Z134" s="889"/>
      <c r="AA134" s="896"/>
      <c r="AB134" s="889"/>
      <c r="AC134" s="889"/>
      <c r="AD134" s="889"/>
    </row>
    <row r="135" spans="1:30" ht="9" customHeight="1">
      <c r="A135" s="902"/>
      <c r="B135" s="902"/>
      <c r="C135" s="900"/>
      <c r="D135" s="900"/>
      <c r="E135" s="900"/>
      <c r="F135" s="900"/>
      <c r="G135" s="900"/>
      <c r="H135" s="917"/>
      <c r="I135" s="917"/>
      <c r="J135" s="917"/>
      <c r="K135" s="917"/>
      <c r="L135" s="917"/>
      <c r="M135" s="900"/>
      <c r="N135" s="922"/>
      <c r="O135" s="915"/>
      <c r="P135" s="915"/>
      <c r="Q135" s="915"/>
      <c r="R135" s="915"/>
      <c r="S135" s="900"/>
      <c r="T135" s="900"/>
      <c r="U135" s="900"/>
      <c r="V135" s="900"/>
      <c r="W135" s="900"/>
      <c r="X135" s="900"/>
      <c r="Y135" s="904"/>
      <c r="Z135" s="889"/>
      <c r="AA135" s="896"/>
      <c r="AB135" s="889"/>
      <c r="AC135" s="889"/>
      <c r="AD135" s="889"/>
    </row>
    <row r="136" spans="1:30" ht="9" customHeight="1">
      <c r="A136" s="902"/>
      <c r="B136" s="902"/>
      <c r="C136" s="900"/>
      <c r="D136" s="900"/>
      <c r="E136" s="900"/>
      <c r="F136" s="900"/>
      <c r="G136" s="900"/>
      <c r="H136" s="917"/>
      <c r="I136" s="917"/>
      <c r="J136" s="917"/>
      <c r="K136" s="917"/>
      <c r="L136" s="917"/>
      <c r="M136" s="900"/>
      <c r="N136" s="922"/>
      <c r="O136" s="915"/>
      <c r="P136" s="915"/>
      <c r="Q136" s="915"/>
      <c r="R136" s="915"/>
      <c r="S136" s="900"/>
      <c r="T136" s="900"/>
      <c r="U136" s="900"/>
      <c r="V136" s="900"/>
      <c r="W136" s="900"/>
      <c r="X136" s="900"/>
      <c r="Y136" s="904"/>
      <c r="Z136" s="889"/>
      <c r="AA136" s="896"/>
      <c r="AB136" s="889"/>
      <c r="AC136" s="889"/>
      <c r="AD136" s="889"/>
    </row>
    <row r="137" spans="1:30" ht="9" customHeight="1">
      <c r="A137" s="902"/>
      <c r="B137" s="902"/>
      <c r="C137" s="900"/>
      <c r="D137" s="900"/>
      <c r="E137" s="900"/>
      <c r="F137" s="900"/>
      <c r="G137" s="900"/>
      <c r="H137" s="917"/>
      <c r="I137" s="917"/>
      <c r="J137" s="917"/>
      <c r="K137" s="917"/>
      <c r="L137" s="917"/>
      <c r="M137" s="900"/>
      <c r="N137" s="922"/>
      <c r="O137" s="925"/>
      <c r="P137" s="925"/>
      <c r="Q137" s="925"/>
      <c r="R137" s="925"/>
      <c r="S137" s="900"/>
      <c r="T137" s="900"/>
      <c r="U137" s="900"/>
      <c r="V137" s="900"/>
      <c r="W137" s="900"/>
      <c r="X137" s="900"/>
      <c r="Y137" s="904"/>
      <c r="Z137" s="889"/>
      <c r="AA137" s="896"/>
      <c r="AB137" s="889"/>
      <c r="AC137" s="889"/>
      <c r="AD137" s="889"/>
    </row>
    <row r="138" spans="1:30" ht="9" customHeight="1">
      <c r="A138" s="902"/>
      <c r="B138" s="902"/>
      <c r="C138" s="900"/>
      <c r="D138" s="900"/>
      <c r="E138" s="900"/>
      <c r="F138" s="900"/>
      <c r="G138" s="900"/>
      <c r="H138" s="917"/>
      <c r="I138" s="917"/>
      <c r="J138" s="917"/>
      <c r="K138" s="917"/>
      <c r="L138" s="917"/>
      <c r="M138" s="900"/>
      <c r="N138" s="922"/>
      <c r="O138" s="918"/>
      <c r="P138" s="918"/>
      <c r="Q138" s="918"/>
      <c r="R138" s="918"/>
      <c r="S138" s="900"/>
      <c r="T138" s="900"/>
      <c r="U138" s="900"/>
      <c r="V138" s="900"/>
      <c r="W138" s="900"/>
      <c r="X138" s="900"/>
      <c r="Y138" s="904"/>
      <c r="Z138" s="889"/>
      <c r="AA138" s="896"/>
      <c r="AB138" s="889"/>
      <c r="AC138" s="889"/>
      <c r="AD138" s="889"/>
    </row>
    <row r="139" spans="1:30" ht="9" customHeight="1">
      <c r="A139" s="902"/>
      <c r="B139" s="902"/>
      <c r="C139" s="900"/>
      <c r="D139" s="900"/>
      <c r="E139" s="900"/>
      <c r="F139" s="900"/>
      <c r="G139" s="900"/>
      <c r="H139" s="917"/>
      <c r="I139" s="917"/>
      <c r="J139" s="917"/>
      <c r="K139" s="917"/>
      <c r="L139" s="917"/>
      <c r="M139" s="900"/>
      <c r="N139" s="922"/>
      <c r="O139" s="900"/>
      <c r="P139" s="900"/>
      <c r="Q139" s="900"/>
      <c r="R139" s="900"/>
      <c r="S139" s="900"/>
      <c r="T139" s="900"/>
      <c r="U139" s="900"/>
      <c r="V139" s="900"/>
      <c r="W139" s="900"/>
      <c r="X139" s="900"/>
      <c r="Y139" s="904"/>
      <c r="Z139" s="889"/>
      <c r="AA139" s="896"/>
      <c r="AB139" s="889"/>
      <c r="AC139" s="889"/>
      <c r="AD139" s="889"/>
    </row>
    <row r="140" spans="1:30" ht="9" customHeight="1">
      <c r="A140" s="902"/>
      <c r="B140" s="902"/>
      <c r="C140" s="900"/>
      <c r="D140" s="900"/>
      <c r="E140" s="900"/>
      <c r="F140" s="900"/>
      <c r="G140" s="900"/>
      <c r="H140" s="917"/>
      <c r="I140" s="917"/>
      <c r="J140" s="917"/>
      <c r="K140" s="917"/>
      <c r="L140" s="917"/>
      <c r="M140" s="900"/>
      <c r="N140" s="922"/>
      <c r="O140" s="900"/>
      <c r="P140" s="900"/>
      <c r="Q140" s="900"/>
      <c r="R140" s="900"/>
      <c r="S140" s="900"/>
      <c r="T140" s="900"/>
      <c r="U140" s="900"/>
      <c r="V140" s="900"/>
      <c r="W140" s="900"/>
      <c r="X140" s="900"/>
      <c r="Y140" s="904"/>
      <c r="Z140" s="889"/>
      <c r="AA140" s="896"/>
      <c r="AB140" s="889"/>
      <c r="AC140" s="889"/>
      <c r="AD140" s="889"/>
    </row>
    <row r="141" spans="1:30" ht="9" customHeight="1">
      <c r="A141" s="902"/>
      <c r="B141" s="902"/>
      <c r="C141" s="900"/>
      <c r="D141" s="900"/>
      <c r="E141" s="900"/>
      <c r="F141" s="900"/>
      <c r="G141" s="900"/>
      <c r="H141" s="917"/>
      <c r="I141" s="917"/>
      <c r="J141" s="917"/>
      <c r="K141" s="917"/>
      <c r="L141" s="917"/>
      <c r="M141" s="900"/>
      <c r="N141" s="922"/>
      <c r="O141" s="900"/>
      <c r="P141" s="900"/>
      <c r="Q141" s="900"/>
      <c r="R141" s="900"/>
      <c r="S141" s="900"/>
      <c r="T141" s="900"/>
      <c r="U141" s="900"/>
      <c r="V141" s="900"/>
      <c r="W141" s="900"/>
      <c r="X141" s="900"/>
      <c r="Y141" s="904"/>
      <c r="Z141" s="889"/>
      <c r="AA141" s="896"/>
      <c r="AB141" s="889"/>
      <c r="AC141" s="889"/>
      <c r="AD141" s="889"/>
    </row>
    <row r="142" spans="1:30" ht="9" customHeight="1">
      <c r="A142" s="902"/>
      <c r="B142" s="902"/>
      <c r="C142" s="900"/>
      <c r="D142" s="900"/>
      <c r="E142" s="900"/>
      <c r="F142" s="900"/>
      <c r="G142" s="900"/>
      <c r="H142" s="917"/>
      <c r="I142" s="917"/>
      <c r="J142" s="917"/>
      <c r="K142" s="917"/>
      <c r="L142" s="917"/>
      <c r="M142" s="900"/>
      <c r="N142" s="922"/>
      <c r="O142" s="900"/>
      <c r="P142" s="900"/>
      <c r="Q142" s="900"/>
      <c r="R142" s="900"/>
      <c r="S142" s="900"/>
      <c r="T142" s="900"/>
      <c r="U142" s="900"/>
      <c r="V142" s="900"/>
      <c r="W142" s="900"/>
      <c r="X142" s="900"/>
      <c r="Y142" s="904"/>
      <c r="Z142" s="889"/>
      <c r="AA142" s="896"/>
      <c r="AB142" s="889"/>
      <c r="AC142" s="889"/>
      <c r="AD142" s="889"/>
    </row>
    <row r="143" spans="1:30" ht="9" customHeight="1">
      <c r="A143" s="902"/>
      <c r="B143" s="902"/>
      <c r="C143" s="900"/>
      <c r="D143" s="900"/>
      <c r="E143" s="900"/>
      <c r="F143" s="900"/>
      <c r="G143" s="900"/>
      <c r="H143" s="917"/>
      <c r="I143" s="917"/>
      <c r="J143" s="917"/>
      <c r="K143" s="917"/>
      <c r="L143" s="917"/>
      <c r="M143" s="900"/>
      <c r="N143" s="922"/>
      <c r="O143" s="900"/>
      <c r="P143" s="900"/>
      <c r="Q143" s="900"/>
      <c r="R143" s="900"/>
      <c r="S143" s="900"/>
      <c r="T143" s="900"/>
      <c r="U143" s="900"/>
      <c r="V143" s="900"/>
      <c r="W143" s="900"/>
      <c r="X143" s="900"/>
      <c r="Y143" s="904"/>
      <c r="Z143" s="889"/>
      <c r="AA143" s="896"/>
      <c r="AB143" s="889"/>
      <c r="AC143" s="889"/>
      <c r="AD143" s="889"/>
    </row>
    <row r="144" spans="1:30" ht="9" customHeight="1">
      <c r="A144" s="902"/>
      <c r="B144" s="902"/>
      <c r="C144" s="900"/>
      <c r="D144" s="900"/>
      <c r="E144" s="900"/>
      <c r="F144" s="900"/>
      <c r="G144" s="900"/>
      <c r="H144" s="917"/>
      <c r="I144" s="917"/>
      <c r="J144" s="917"/>
      <c r="K144" s="917"/>
      <c r="L144" s="917"/>
      <c r="M144" s="900"/>
      <c r="N144" s="922"/>
      <c r="O144" s="900"/>
      <c r="P144" s="900"/>
      <c r="Q144" s="900"/>
      <c r="R144" s="900"/>
      <c r="S144" s="900"/>
      <c r="T144" s="900"/>
      <c r="U144" s="900"/>
      <c r="V144" s="900"/>
      <c r="W144" s="900"/>
      <c r="X144" s="900"/>
      <c r="Y144" s="904"/>
      <c r="Z144" s="889"/>
      <c r="AA144" s="896"/>
      <c r="AB144" s="889"/>
      <c r="AC144" s="889"/>
      <c r="AD144" s="889"/>
    </row>
    <row r="145" spans="1:30" ht="9" customHeight="1">
      <c r="A145" s="902"/>
      <c r="B145" s="902"/>
      <c r="C145" s="900"/>
      <c r="D145" s="900"/>
      <c r="E145" s="900"/>
      <c r="F145" s="900"/>
      <c r="G145" s="900"/>
      <c r="H145" s="917"/>
      <c r="I145" s="917"/>
      <c r="J145" s="917"/>
      <c r="K145" s="917"/>
      <c r="L145" s="917"/>
      <c r="M145" s="900"/>
      <c r="N145" s="922"/>
      <c r="O145" s="900"/>
      <c r="P145" s="900"/>
      <c r="Q145" s="900"/>
      <c r="R145" s="900"/>
      <c r="S145" s="900"/>
      <c r="T145" s="900"/>
      <c r="U145" s="900"/>
      <c r="V145" s="900"/>
      <c r="W145" s="900"/>
      <c r="X145" s="900"/>
      <c r="Y145" s="904"/>
      <c r="Z145" s="889"/>
      <c r="AA145" s="896"/>
      <c r="AB145" s="889"/>
      <c r="AC145" s="889"/>
      <c r="AD145" s="889"/>
    </row>
    <row r="146" spans="1:30" ht="9" customHeight="1">
      <c r="A146" s="902"/>
      <c r="B146" s="902"/>
      <c r="C146" s="900"/>
      <c r="D146" s="900"/>
      <c r="E146" s="900"/>
      <c r="F146" s="900"/>
      <c r="G146" s="900"/>
      <c r="H146" s="917"/>
      <c r="I146" s="917"/>
      <c r="J146" s="917"/>
      <c r="K146" s="917"/>
      <c r="L146" s="917"/>
      <c r="M146" s="900"/>
      <c r="N146" s="922"/>
      <c r="O146" s="900"/>
      <c r="P146" s="900"/>
      <c r="Q146" s="900"/>
      <c r="R146" s="900"/>
      <c r="S146" s="900"/>
      <c r="T146" s="900"/>
      <c r="U146" s="900"/>
      <c r="V146" s="900"/>
      <c r="W146" s="900"/>
      <c r="X146" s="900"/>
      <c r="Y146" s="904"/>
      <c r="Z146" s="889"/>
      <c r="AA146" s="896"/>
      <c r="AB146" s="889"/>
      <c r="AC146" s="889"/>
      <c r="AD146" s="889"/>
    </row>
    <row r="147" spans="1:30" ht="9" customHeight="1">
      <c r="A147" s="902"/>
      <c r="B147" s="902"/>
      <c r="C147" s="902"/>
      <c r="D147" s="902"/>
      <c r="E147" s="902"/>
      <c r="F147" s="902"/>
      <c r="G147" s="902"/>
      <c r="H147" s="902"/>
      <c r="I147" s="902"/>
      <c r="J147" s="902"/>
      <c r="K147" s="902"/>
      <c r="L147" s="902"/>
      <c r="M147" s="902"/>
      <c r="N147" s="902"/>
      <c r="O147" s="902"/>
      <c r="P147" s="902"/>
      <c r="Q147" s="902"/>
      <c r="R147" s="902"/>
      <c r="S147" s="902"/>
      <c r="T147" s="902"/>
      <c r="U147" s="902"/>
      <c r="V147" s="902"/>
      <c r="W147" s="902"/>
      <c r="X147" s="902"/>
      <c r="Y147" s="902"/>
      <c r="Z147" s="902"/>
      <c r="AA147" s="902"/>
      <c r="AB147" s="902"/>
      <c r="AC147" s="902"/>
      <c r="AD147" s="902"/>
    </row>
    <row r="148" spans="1:30" ht="90" customHeight="1">
      <c r="A148" s="902" t="s">
        <v>1661</v>
      </c>
      <c r="B148" s="902"/>
      <c r="C148" s="900" t="s">
        <v>2224</v>
      </c>
      <c r="D148" s="900" t="s">
        <v>1563</v>
      </c>
      <c r="E148" s="900" t="s">
        <v>1663</v>
      </c>
      <c r="F148" s="900" t="s">
        <v>2225</v>
      </c>
      <c r="G148" s="900"/>
      <c r="H148" s="900"/>
      <c r="I148" s="926"/>
      <c r="J148" s="926"/>
      <c r="K148" s="926"/>
      <c r="L148" s="926"/>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9"/>
      <c r="O148" s="900"/>
      <c r="P148" s="903"/>
      <c r="Q148" s="903"/>
      <c r="R148" s="903"/>
      <c r="S148" s="900"/>
      <c r="T148" s="900" t="s">
        <v>2226</v>
      </c>
      <c r="U148" s="90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3"/>
      <c r="W148" s="903"/>
      <c r="X148" s="900" t="s">
        <v>2227</v>
      </c>
      <c r="Y148" s="904"/>
      <c r="Z148" s="889"/>
      <c r="AA148" s="896"/>
      <c r="AB148" s="889"/>
      <c r="AC148" s="889"/>
      <c r="AD148" s="889"/>
    </row>
    <row r="149" spans="1:30" ht="9" customHeight="1">
      <c r="A149" s="902"/>
      <c r="B149" s="902"/>
      <c r="C149" s="902"/>
      <c r="D149" s="902"/>
      <c r="E149" s="902"/>
      <c r="F149" s="902"/>
      <c r="G149" s="902"/>
      <c r="H149" s="902"/>
      <c r="I149" s="902"/>
      <c r="J149" s="902"/>
      <c r="K149" s="902"/>
      <c r="L149" s="902"/>
      <c r="M149" s="902"/>
      <c r="N149" s="902"/>
      <c r="O149" s="902"/>
      <c r="P149" s="902"/>
      <c r="Q149" s="902"/>
      <c r="R149" s="902"/>
      <c r="S149" s="902"/>
      <c r="T149" s="902"/>
      <c r="U149" s="902"/>
      <c r="V149" s="902"/>
      <c r="W149" s="902"/>
      <c r="X149" s="902"/>
      <c r="Y149" s="902"/>
      <c r="Z149" s="902"/>
      <c r="AA149" s="902"/>
      <c r="AB149" s="902"/>
      <c r="AC149" s="902"/>
      <c r="AD149" s="902"/>
    </row>
    <row r="150" spans="1:30" ht="9" customHeight="1">
      <c r="A150" s="902" t="s">
        <v>1665</v>
      </c>
      <c r="B150" s="902"/>
      <c r="C150" s="900"/>
      <c r="D150" s="900"/>
      <c r="E150" s="900"/>
      <c r="F150" s="900"/>
      <c r="G150" s="900"/>
      <c r="H150" s="900"/>
      <c r="I150" s="900"/>
      <c r="J150" s="900"/>
      <c r="K150" s="900"/>
      <c r="L150" s="900"/>
      <c r="M150" s="900"/>
      <c r="N150" s="900"/>
      <c r="O150" s="900"/>
      <c r="P150" s="900"/>
      <c r="Q150" s="900"/>
      <c r="R150" s="900"/>
      <c r="S150" s="900"/>
      <c r="T150" s="900"/>
      <c r="U150" s="900"/>
      <c r="V150" s="900"/>
      <c r="W150" s="900"/>
      <c r="X150" s="900"/>
      <c r="Y150" s="904"/>
      <c r="Z150" s="889"/>
      <c r="AA150" s="896"/>
      <c r="AB150" s="889"/>
      <c r="AC150" s="889"/>
      <c r="AD150" s="889"/>
    </row>
    <row r="151" spans="1:30" ht="9" customHeight="1">
      <c r="A151" s="902"/>
      <c r="B151" s="902"/>
      <c r="C151" s="902"/>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row>
    <row r="152" spans="1:30" ht="9" customHeight="1">
      <c r="A152" s="902" t="s">
        <v>1668</v>
      </c>
      <c r="B152" s="902"/>
      <c r="C152" s="900"/>
      <c r="D152" s="900"/>
      <c r="E152" s="900"/>
      <c r="F152" s="900"/>
      <c r="G152" s="900"/>
      <c r="H152" s="900"/>
      <c r="I152" s="900"/>
      <c r="J152" s="900"/>
      <c r="K152" s="900"/>
      <c r="L152" s="900"/>
      <c r="M152" s="900"/>
      <c r="N152" s="900"/>
      <c r="O152" s="900"/>
      <c r="P152" s="900"/>
      <c r="Q152" s="900"/>
      <c r="R152" s="900"/>
      <c r="S152" s="900"/>
      <c r="T152" s="900"/>
      <c r="U152" s="900"/>
      <c r="V152" s="900"/>
      <c r="W152" s="900"/>
      <c r="X152" s="900"/>
      <c r="Y152" s="904"/>
      <c r="Z152" s="889"/>
      <c r="AA152" s="896"/>
      <c r="AB152" s="889"/>
      <c r="AC152" s="889"/>
      <c r="AD152" s="889"/>
    </row>
    <row r="153" spans="1:30" ht="9" customHeight="1">
      <c r="A153" s="902"/>
      <c r="B153" s="902"/>
      <c r="C153" s="902"/>
      <c r="D153" s="902"/>
      <c r="E153" s="902"/>
      <c r="F153" s="902"/>
      <c r="G153" s="902"/>
      <c r="H153" s="902"/>
      <c r="I153" s="902"/>
      <c r="J153" s="902"/>
      <c r="K153" s="902"/>
      <c r="L153" s="902"/>
      <c r="M153" s="902"/>
      <c r="N153" s="902"/>
      <c r="O153" s="902"/>
      <c r="P153" s="902"/>
      <c r="Q153" s="902"/>
      <c r="R153" s="902"/>
      <c r="S153" s="902"/>
      <c r="T153" s="902"/>
      <c r="U153" s="902"/>
      <c r="V153" s="902"/>
      <c r="W153" s="902"/>
      <c r="X153" s="902"/>
      <c r="Y153" s="902"/>
      <c r="Z153" s="902"/>
      <c r="AA153" s="902"/>
      <c r="AB153" s="902"/>
      <c r="AC153" s="902"/>
      <c r="AD153" s="902"/>
    </row>
    <row r="154" spans="1:30" ht="9" customHeight="1">
      <c r="A154" s="902" t="s">
        <v>1673</v>
      </c>
      <c r="B154" s="902"/>
      <c r="C154" s="900"/>
      <c r="D154" s="900"/>
      <c r="E154" s="900"/>
      <c r="F154" s="900"/>
      <c r="G154" s="900"/>
      <c r="H154" s="900"/>
      <c r="I154" s="900"/>
      <c r="J154" s="900"/>
      <c r="K154" s="900"/>
      <c r="L154" s="900"/>
      <c r="M154" s="900"/>
      <c r="N154" s="900"/>
      <c r="O154" s="900"/>
      <c r="P154" s="900"/>
      <c r="Q154" s="900"/>
      <c r="R154" s="900"/>
      <c r="S154" s="900"/>
      <c r="T154" s="900"/>
      <c r="U154" s="900"/>
      <c r="V154" s="900"/>
      <c r="W154" s="900"/>
      <c r="X154" s="900"/>
      <c r="Y154" s="904"/>
      <c r="Z154" s="889"/>
      <c r="AA154" s="896"/>
      <c r="AB154" s="889"/>
      <c r="AC154" s="889"/>
      <c r="AD154" s="88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D22B-ABF9-ACF4-B77B-D71E391505F4}">
  <sheetPr>
    <tabColor theme="6" tint="0.39997558519241921"/>
  </sheetPr>
  <dimension ref="A1:AD41"/>
  <sheetViews>
    <sheetView showGridLines="0" topLeftCell="I4" workbookViewId="0"/>
  </sheetViews>
  <sheetFormatPr defaultColWidth="10.5703125" defaultRowHeight="14.25" customHeight="1"/>
  <cols>
    <col min="1" max="1" width="10.5703125" hidden="1"/>
    <col min="2" max="2" width="11" hidden="1" customWidth="1"/>
    <col min="3" max="3" width="10.5703125" hidden="1"/>
    <col min="4" max="4" width="11.85546875" hidden="1" customWidth="1"/>
    <col min="5" max="8" width="12.28515625" hidden="1" customWidth="1"/>
    <col min="9" max="11" width="3" customWidth="1"/>
    <col min="12" max="12" width="12" customWidth="1"/>
    <col min="13" max="13" width="31" customWidth="1"/>
    <col min="14" max="14" width="1" customWidth="1"/>
    <col min="15" max="18" width="24" customWidth="1"/>
    <col min="19" max="19" width="11" customWidth="1"/>
    <col min="20" max="20" width="3.7109375" customWidth="1"/>
    <col min="21" max="21" width="11" customWidth="1"/>
    <col min="22" max="22" width="8.5703125" customWidth="1"/>
    <col min="23" max="23" width="4" customWidth="1"/>
    <col min="24" max="24" width="115" customWidth="1"/>
    <col min="25" max="29" width="10" customWidth="1"/>
    <col min="30" max="30" width="10.5703125" hidden="1"/>
  </cols>
  <sheetData>
    <row r="1" spans="10:30" ht="22.5" hidden="1" customHeight="1">
      <c r="AD1" s="17" t="s">
        <v>14</v>
      </c>
    </row>
    <row r="2" spans="10:30" ht="14.25" hidden="1" customHeight="1">
      <c r="AD2" s="17">
        <v>0</v>
      </c>
    </row>
    <row r="3" spans="10:30" ht="14.25" hidden="1" customHeight="1">
      <c r="AD3" s="17">
        <v>0</v>
      </c>
    </row>
    <row r="4" spans="10:30" ht="14.65" customHeight="1">
      <c r="J4" s="333"/>
      <c r="K4" s="333"/>
      <c r="L4" s="334"/>
      <c r="M4" s="38"/>
      <c r="N4" s="38"/>
      <c r="AD4" s="17">
        <v>14</v>
      </c>
    </row>
    <row r="5" spans="10:30" ht="67.150000000000006" customHeight="1">
      <c r="J5" s="333"/>
      <c r="K5" s="333"/>
      <c r="L5" s="1385" t="s">
        <v>2228</v>
      </c>
      <c r="M5" s="1385"/>
      <c r="N5" s="1385"/>
      <c r="O5" s="1385"/>
      <c r="P5" s="1385"/>
      <c r="Q5" s="1385"/>
      <c r="R5" s="1385"/>
      <c r="S5" s="1385"/>
      <c r="T5" s="1385"/>
      <c r="U5" s="1385"/>
      <c r="AD5" s="17">
        <v>64</v>
      </c>
    </row>
    <row r="6" spans="10:30" ht="14.65" customHeight="1">
      <c r="J6" s="333"/>
      <c r="K6" s="333"/>
      <c r="L6" s="1386" t="str">
        <f>IF(org=0,"Не определено",org)</f>
        <v>ООО "ТВС"</v>
      </c>
      <c r="M6" s="1386"/>
      <c r="N6" s="1386"/>
      <c r="O6" s="1386"/>
      <c r="P6" s="1386"/>
      <c r="Q6" s="1386"/>
      <c r="R6" s="1386"/>
      <c r="S6" s="1386"/>
      <c r="T6" s="1386"/>
      <c r="U6" s="1386"/>
      <c r="AD6" s="17">
        <v>14</v>
      </c>
    </row>
    <row r="7" spans="10:30" ht="14.65" customHeight="1">
      <c r="J7" s="333"/>
      <c r="K7" s="333"/>
      <c r="L7" s="334"/>
      <c r="M7" s="38"/>
      <c r="N7" s="38"/>
      <c r="O7" s="335"/>
      <c r="P7" s="335"/>
      <c r="Q7" s="335"/>
      <c r="R7" s="335"/>
      <c r="S7" s="335"/>
      <c r="T7" s="335"/>
      <c r="U7" s="335"/>
      <c r="V7" s="335"/>
      <c r="AD7" s="17">
        <v>14</v>
      </c>
    </row>
    <row r="8" spans="10:30" ht="48.2" customHeight="1">
      <c r="M8" s="336" t="s">
        <v>42</v>
      </c>
      <c r="N8" s="661"/>
      <c r="O8" s="1105" t="str">
        <f>IF(TITLE_NAME_OR_PR_CHANGE="",IF(TITLE_NAME_OR_PR="","",TITLE_NAME_OR_PR),TITLE_NAME_OR_PR_CHANGE)</f>
        <v/>
      </c>
      <c r="P8" s="1105"/>
      <c r="Q8" s="1105"/>
      <c r="R8" s="1105"/>
      <c r="S8" s="1105"/>
      <c r="T8" s="1105"/>
      <c r="U8" s="1105"/>
      <c r="AD8" s="111">
        <v>46</v>
      </c>
    </row>
    <row r="9" spans="10:30" ht="24" customHeight="1">
      <c r="M9" s="336" t="s">
        <v>424</v>
      </c>
      <c r="N9" s="661"/>
      <c r="O9" s="1105" t="str">
        <f>IF(TITLE_DATE_CHANGE_PERIOD="",IF(TITLE_DATE_PR="","",TITLE_DATE_PR),TITLE_DATE_CHANGE_PERIOD)</f>
        <v/>
      </c>
      <c r="P9" s="1105"/>
      <c r="Q9" s="1105"/>
      <c r="R9" s="1105"/>
      <c r="S9" s="1105"/>
      <c r="T9" s="1105"/>
      <c r="U9" s="1105"/>
      <c r="AD9" s="111">
        <v>23</v>
      </c>
    </row>
    <row r="10" spans="10:30" ht="24" customHeight="1">
      <c r="M10" s="336" t="s">
        <v>425</v>
      </c>
      <c r="N10" s="661"/>
      <c r="O10" s="1105" t="str">
        <f>IF(TITLE_NUMBER_PR_CHANGE="",IF(TITLE_NUMBER_PR="","",TITLE_NUMBER_PR),TITLE_NUMBER_PR_CHANGE)</f>
        <v/>
      </c>
      <c r="P10" s="1105"/>
      <c r="Q10" s="1105"/>
      <c r="R10" s="1105"/>
      <c r="S10" s="1105"/>
      <c r="T10" s="1105"/>
      <c r="U10" s="1105"/>
      <c r="AD10" s="111">
        <v>23</v>
      </c>
    </row>
    <row r="11" spans="10:30" ht="24" customHeight="1">
      <c r="M11" s="336" t="s">
        <v>43</v>
      </c>
      <c r="N11" s="661"/>
      <c r="O11" s="1105" t="str">
        <f>IF(TITLE_IST_PUB_CHANGE="",IF(TITLE_IST_PUB="","",TITLE_IST_PUB),TITLE_IST_PUB_CHANGE)</f>
        <v/>
      </c>
      <c r="P11" s="1105"/>
      <c r="Q11" s="1105"/>
      <c r="R11" s="1105"/>
      <c r="S11" s="1105"/>
      <c r="T11" s="1105"/>
      <c r="U11" s="1105"/>
      <c r="AD11" s="111">
        <v>23</v>
      </c>
    </row>
    <row r="12" spans="10:30" ht="11.25" hidden="1" customHeight="1">
      <c r="L12" s="964"/>
      <c r="M12" s="964"/>
      <c r="V12" s="75" t="s">
        <v>428</v>
      </c>
      <c r="AD12" s="111">
        <v>0</v>
      </c>
    </row>
    <row r="13" spans="10:30" ht="14.65" customHeight="1">
      <c r="J13" s="333"/>
      <c r="K13" s="333"/>
      <c r="L13" s="334"/>
      <c r="M13" s="38"/>
      <c r="N13" s="339"/>
      <c r="O13" s="1123"/>
      <c r="P13" s="1123"/>
      <c r="Q13" s="1123"/>
      <c r="R13" s="1123"/>
      <c r="S13" s="1123"/>
      <c r="T13" s="1123"/>
      <c r="U13" s="1123"/>
      <c r="V13" s="1123"/>
      <c r="AD13" s="17">
        <v>14</v>
      </c>
    </row>
    <row r="14" spans="10:30" ht="14.65" customHeight="1">
      <c r="J14" s="333"/>
      <c r="K14" s="333"/>
      <c r="L14" s="995" t="s">
        <v>301</v>
      </c>
      <c r="M14" s="995"/>
      <c r="N14" s="995"/>
      <c r="O14" s="995"/>
      <c r="P14" s="995"/>
      <c r="Q14" s="995"/>
      <c r="R14" s="995"/>
      <c r="S14" s="995"/>
      <c r="T14" s="995"/>
      <c r="U14" s="995"/>
      <c r="V14" s="995"/>
      <c r="W14" s="995"/>
      <c r="X14" s="995" t="s">
        <v>302</v>
      </c>
      <c r="AD14" s="17">
        <v>14</v>
      </c>
    </row>
    <row r="15" spans="10:30" ht="14.65" customHeight="1">
      <c r="J15" s="333"/>
      <c r="K15" s="333"/>
      <c r="L15" s="1124" t="s">
        <v>88</v>
      </c>
      <c r="M15" s="1073" t="s">
        <v>429</v>
      </c>
      <c r="N15" s="341"/>
      <c r="O15" s="1125" t="s">
        <v>2229</v>
      </c>
      <c r="P15" s="1126"/>
      <c r="Q15" s="1126"/>
      <c r="R15" s="1126"/>
      <c r="S15" s="1126"/>
      <c r="T15" s="1126"/>
      <c r="U15" s="1127"/>
      <c r="V15" s="1128" t="s">
        <v>431</v>
      </c>
      <c r="W15" s="1131" t="s">
        <v>1148</v>
      </c>
      <c r="X15" s="995"/>
      <c r="AD15" s="17">
        <v>14</v>
      </c>
    </row>
    <row r="16" spans="10:30" ht="35.65" customHeight="1">
      <c r="J16" s="333"/>
      <c r="K16" s="333"/>
      <c r="L16" s="1124"/>
      <c r="M16" s="1073"/>
      <c r="N16" s="343"/>
      <c r="O16" s="1046" t="s">
        <v>434</v>
      </c>
      <c r="P16" s="1046" t="s">
        <v>435</v>
      </c>
      <c r="Q16" s="977" t="s">
        <v>436</v>
      </c>
      <c r="R16" s="976"/>
      <c r="S16" s="977" t="s">
        <v>450</v>
      </c>
      <c r="T16" s="982"/>
      <c r="U16" s="976"/>
      <c r="V16" s="1129"/>
      <c r="W16" s="1132"/>
      <c r="X16" s="995"/>
      <c r="AD16" s="17">
        <v>34</v>
      </c>
    </row>
    <row r="17" spans="1:30" ht="35.65" customHeight="1">
      <c r="A17" s="126" t="s">
        <v>137</v>
      </c>
      <c r="B17" s="126" t="s">
        <v>138</v>
      </c>
      <c r="C17" s="126" t="s">
        <v>139</v>
      </c>
      <c r="D17" s="126" t="s">
        <v>140</v>
      </c>
      <c r="J17" s="333"/>
      <c r="K17" s="333"/>
      <c r="L17" s="1124"/>
      <c r="M17" s="1073"/>
      <c r="N17" s="344"/>
      <c r="O17" s="1098"/>
      <c r="P17" s="1098"/>
      <c r="Q17" s="134" t="s">
        <v>445</v>
      </c>
      <c r="R17" s="134" t="s">
        <v>446</v>
      </c>
      <c r="S17" s="134" t="s">
        <v>447</v>
      </c>
      <c r="T17" s="1078" t="s">
        <v>448</v>
      </c>
      <c r="U17" s="1092"/>
      <c r="V17" s="1130"/>
      <c r="W17" s="1133"/>
      <c r="X17" s="995"/>
      <c r="AD17" s="17">
        <v>34</v>
      </c>
    </row>
    <row r="18" spans="1:30" ht="11.45" customHeight="1">
      <c r="J18" s="347"/>
      <c r="K18" s="348">
        <v>1</v>
      </c>
      <c r="L18" s="349" t="s">
        <v>110</v>
      </c>
      <c r="M18" s="350" t="s">
        <v>111</v>
      </c>
      <c r="N18" s="351" t="str">
        <f ca="1">OFFSET(N18,0,-1)</f>
        <v>2</v>
      </c>
      <c r="O18" s="352">
        <f ca="1">OFFSET(O18,0,-1)+1</f>
        <v>3</v>
      </c>
      <c r="P18" s="352"/>
      <c r="Q18" s="352">
        <f ca="1">OFFSET(Q18,0,-1)+1</f>
        <v>1</v>
      </c>
      <c r="R18" s="352">
        <f ca="1">OFFSET(R18,0,-1)+1</f>
        <v>2</v>
      </c>
      <c r="S18" s="352">
        <f ca="1">OFFSET(S18,0,-1)+1</f>
        <v>3</v>
      </c>
      <c r="T18" s="1122">
        <f ca="1">OFFSET(T18,0,-1)+1</f>
        <v>4</v>
      </c>
      <c r="U18" s="1122"/>
      <c r="V18" s="352">
        <f ca="1">OFFSET(V18,0,-2)+1</f>
        <v>5</v>
      </c>
      <c r="W18" s="351">
        <f ca="1">OFFSET(W18,0,-1)</f>
        <v>5</v>
      </c>
      <c r="X18" s="352">
        <f ca="1">OFFSET(X18,0,-1)+1</f>
        <v>6</v>
      </c>
      <c r="AD18" s="258">
        <v>11</v>
      </c>
    </row>
    <row r="19" spans="1:30" ht="21" customHeight="1">
      <c r="A19" s="353" t="s">
        <v>171</v>
      </c>
      <c r="B19" s="353" t="s">
        <v>172</v>
      </c>
      <c r="C19" s="353" t="s">
        <v>173</v>
      </c>
      <c r="D19" s="353" t="s">
        <v>174</v>
      </c>
      <c r="K19" s="294"/>
      <c r="L19" s="295">
        <f>INDEX(PT_DIFFERENTIATION_NUM_NTAR,MATCH(A19,PT_DIFFERENTIATION_NTAR_ID,0))</f>
        <v>0</v>
      </c>
      <c r="M19" s="296" t="s">
        <v>126</v>
      </c>
      <c r="N19" s="297"/>
      <c r="O19" s="1384" t="str">
        <f>INDEX(PT_DIFFERENTIATION_NTAR,MATCH(A19,PT_DIFFERENTIATION_NTAR_ID,0))</f>
        <v/>
      </c>
      <c r="P19" s="1384"/>
      <c r="Q19" s="1384"/>
      <c r="R19" s="1384"/>
      <c r="S19" s="1384"/>
      <c r="T19" s="1384"/>
      <c r="U19" s="1384"/>
      <c r="V19" s="1384"/>
      <c r="W19" s="1384"/>
      <c r="X19" s="299" t="s">
        <v>397</v>
      </c>
      <c r="AA19" s="87" t="str">
        <f t="shared" ref="AA19:AA32" si="0">IF(M19="","",M19)</f>
        <v>Наименование тарифа</v>
      </c>
      <c r="AD19" s="17">
        <v>20</v>
      </c>
    </row>
    <row r="20" spans="1:30" ht="21" customHeight="1">
      <c r="A20" s="353" t="s">
        <v>171</v>
      </c>
      <c r="B20" s="353" t="s">
        <v>172</v>
      </c>
      <c r="C20" s="353" t="s">
        <v>173</v>
      </c>
      <c r="D20" s="353" t="s">
        <v>174</v>
      </c>
      <c r="J20" s="300"/>
      <c r="K20" s="301"/>
      <c r="L20" s="295" t="str">
        <f>INDEX(PT_DIFFERENTIATION_NUM_TER,MATCH(B19,PT_DIFFERENTIATION_TER_ID,0))</f>
        <v>.</v>
      </c>
      <c r="M20" s="302" t="s">
        <v>398</v>
      </c>
      <c r="N20" s="297"/>
      <c r="O20" s="1384" t="str">
        <f>INDEX(PT_DIFFERENTIATION_TER,MATCH(B19,PT_DIFFERENTIATION_TER_ID,0))</f>
        <v/>
      </c>
      <c r="P20" s="1384"/>
      <c r="Q20" s="1384"/>
      <c r="R20" s="1384"/>
      <c r="S20" s="1384"/>
      <c r="T20" s="1384"/>
      <c r="U20" s="1384"/>
      <c r="V20" s="1384"/>
      <c r="W20" s="1384"/>
      <c r="X20" s="299" t="s">
        <v>399</v>
      </c>
      <c r="AA20" s="87" t="str">
        <f t="shared" si="0"/>
        <v>Территория действия тарифа</v>
      </c>
      <c r="AD20" s="17">
        <v>20</v>
      </c>
    </row>
    <row r="21" spans="1:30" ht="24" customHeight="1">
      <c r="A21" s="353" t="s">
        <v>171</v>
      </c>
      <c r="B21" s="353" t="s">
        <v>172</v>
      </c>
      <c r="C21" s="353" t="s">
        <v>173</v>
      </c>
      <c r="D21" s="353" t="s">
        <v>174</v>
      </c>
      <c r="J21" s="300"/>
      <c r="K21" s="301"/>
      <c r="L21" s="295" t="str">
        <f>INDEX(PT_DIFFERENTIATION_NUM_CS,MATCH(C19,PT_DIFFERENTIATION_CS_ID,0))</f>
        <v>..</v>
      </c>
      <c r="M21" s="303" t="s">
        <v>400</v>
      </c>
      <c r="N21" s="297"/>
      <c r="O21" s="1384" t="str">
        <f>INDEX(PT_DIFFERENTIATION_CS,MATCH(C19,PT_DIFFERENTIATION_CS_ID,0))</f>
        <v/>
      </c>
      <c r="P21" s="1384"/>
      <c r="Q21" s="1384"/>
      <c r="R21" s="1384"/>
      <c r="S21" s="1384"/>
      <c r="T21" s="1384"/>
      <c r="U21" s="1384"/>
      <c r="V21" s="1384"/>
      <c r="W21" s="1384"/>
      <c r="X21" s="299" t="s">
        <v>401</v>
      </c>
      <c r="AA21" s="87" t="str">
        <f t="shared" si="0"/>
        <v xml:space="preserve">Наименование системы теплоснабжения </v>
      </c>
      <c r="AD21" s="17">
        <v>23</v>
      </c>
    </row>
    <row r="22" spans="1:30" ht="21" customHeight="1">
      <c r="A22" s="353" t="s">
        <v>171</v>
      </c>
      <c r="B22" s="353" t="s">
        <v>172</v>
      </c>
      <c r="C22" s="353" t="s">
        <v>173</v>
      </c>
      <c r="D22" s="353" t="s">
        <v>174</v>
      </c>
      <c r="J22" s="300"/>
      <c r="K22" s="301"/>
      <c r="L22" s="295" t="str">
        <f>INDEX(PT_DIFFERENTIATION_NUM_IST_TE,MATCH(D19,PT_DIFFERENTIATION_IST_TE_ID,0))</f>
        <v>...</v>
      </c>
      <c r="M22" s="304" t="s">
        <v>402</v>
      </c>
      <c r="N22" s="297"/>
      <c r="O22" s="1384" t="str">
        <f>INDEX(PT_DIFFERENTIATION_IST_TE,MATCH(D19,PT_DIFFERENTIATION_IST_TE_ID,0))</f>
        <v/>
      </c>
      <c r="P22" s="1384"/>
      <c r="Q22" s="1384"/>
      <c r="R22" s="1384"/>
      <c r="S22" s="1384"/>
      <c r="T22" s="1384"/>
      <c r="U22" s="1384"/>
      <c r="V22" s="1384"/>
      <c r="W22" s="1384"/>
      <c r="X22" s="299" t="s">
        <v>403</v>
      </c>
      <c r="AA22" s="87" t="str">
        <f t="shared" si="0"/>
        <v xml:space="preserve">Источник тепловой энергии  </v>
      </c>
      <c r="AD22" s="17">
        <v>20</v>
      </c>
    </row>
    <row r="23" spans="1:30" ht="96.75" customHeight="1">
      <c r="A23" s="353" t="s">
        <v>171</v>
      </c>
      <c r="B23" s="353" t="s">
        <v>172</v>
      </c>
      <c r="C23" s="353" t="s">
        <v>173</v>
      </c>
      <c r="D23" s="353" t="s">
        <v>174</v>
      </c>
      <c r="F23" s="1090" t="str">
        <f>L22&amp;".1"</f>
        <v>....1</v>
      </c>
      <c r="I23" s="1115">
        <v>1</v>
      </c>
      <c r="K23" s="307"/>
      <c r="L23" s="295" t="str">
        <f>$F$23</f>
        <v>....1</v>
      </c>
      <c r="M23" s="308" t="s">
        <v>405</v>
      </c>
      <c r="N23" s="297"/>
      <c r="O23" s="1145"/>
      <c r="P23" s="1145"/>
      <c r="Q23" s="1145"/>
      <c r="R23" s="1145"/>
      <c r="S23" s="1145"/>
      <c r="T23" s="1145"/>
      <c r="U23" s="1145"/>
      <c r="V23" s="1145"/>
      <c r="W23" s="1145"/>
      <c r="X23" s="299" t="s">
        <v>406</v>
      </c>
      <c r="AA23" s="87" t="str">
        <f t="shared" si="0"/>
        <v>Схема подключения теплопотребляющей установки к коллектору источника тепловой энергии</v>
      </c>
      <c r="AD23" s="17">
        <v>92</v>
      </c>
    </row>
    <row r="24" spans="1:30" ht="86.25" customHeight="1">
      <c r="A24" s="353" t="s">
        <v>171</v>
      </c>
      <c r="B24" s="353" t="s">
        <v>172</v>
      </c>
      <c r="C24" s="353" t="s">
        <v>173</v>
      </c>
      <c r="D24" s="353" t="s">
        <v>174</v>
      </c>
      <c r="F24" s="964"/>
      <c r="G24" s="1090" t="str">
        <f>F23&amp;".1"</f>
        <v>....1.1</v>
      </c>
      <c r="I24" s="964"/>
      <c r="J24" s="1115">
        <v>1</v>
      </c>
      <c r="K24" s="309"/>
      <c r="L24" s="295" t="str">
        <f>$G$24</f>
        <v>....1.1</v>
      </c>
      <c r="M24" s="310" t="s">
        <v>408</v>
      </c>
      <c r="N24" s="297"/>
      <c r="O24" s="1100"/>
      <c r="P24" s="1101"/>
      <c r="Q24" s="1101"/>
      <c r="R24" s="1101"/>
      <c r="S24" s="1101"/>
      <c r="T24" s="1101"/>
      <c r="U24" s="1101"/>
      <c r="V24" s="1101"/>
      <c r="W24" s="1102"/>
      <c r="X24" s="299" t="s">
        <v>409</v>
      </c>
      <c r="AA24" s="87" t="str">
        <f t="shared" si="0"/>
        <v>Группа потребителей</v>
      </c>
      <c r="AD24" s="17">
        <v>82</v>
      </c>
    </row>
    <row r="25" spans="1:30" ht="11.45" customHeight="1">
      <c r="A25" s="353" t="s">
        <v>171</v>
      </c>
      <c r="B25" s="353" t="s">
        <v>172</v>
      </c>
      <c r="C25" s="353" t="s">
        <v>173</v>
      </c>
      <c r="D25" s="353" t="s">
        <v>174</v>
      </c>
      <c r="F25" s="964"/>
      <c r="G25" s="964"/>
      <c r="H25" s="1090" t="str">
        <f>G24&amp;".1"</f>
        <v>....1.1.1</v>
      </c>
      <c r="I25" s="964"/>
      <c r="J25" s="964"/>
      <c r="K25" s="309">
        <v>1</v>
      </c>
      <c r="L25" s="295" t="str">
        <f>$H$25</f>
        <v>....1.1.1</v>
      </c>
      <c r="M25" s="311"/>
      <c r="N25" s="297"/>
      <c r="O25" s="312"/>
      <c r="P25" s="313"/>
      <c r="Q25" s="312"/>
      <c r="R25" s="314"/>
      <c r="S25" s="1116"/>
      <c r="T25" s="1004" t="s">
        <v>66</v>
      </c>
      <c r="U25" s="1116"/>
      <c r="V25" s="1004" t="s">
        <v>19</v>
      </c>
      <c r="W25" s="313"/>
      <c r="X25" s="1134" t="s">
        <v>411</v>
      </c>
      <c r="Y25" s="75" t="e">
        <f ca="1">STRCHECKDATE(O26:W26)</f>
        <v>#NAME?</v>
      </c>
      <c r="AA25" s="87" t="str">
        <f t="shared" si="0"/>
        <v/>
      </c>
      <c r="AD25" s="17">
        <v>11</v>
      </c>
    </row>
    <row r="26" spans="1:30" ht="11.45" customHeight="1">
      <c r="A26" s="353" t="s">
        <v>171</v>
      </c>
      <c r="B26" s="353" t="s">
        <v>172</v>
      </c>
      <c r="C26" s="353" t="s">
        <v>173</v>
      </c>
      <c r="D26" s="353" t="s">
        <v>174</v>
      </c>
      <c r="F26" s="964"/>
      <c r="G26" s="964"/>
      <c r="H26" s="964"/>
      <c r="I26" s="964"/>
      <c r="J26" s="964"/>
      <c r="K26" s="309"/>
      <c r="L26" s="278"/>
      <c r="M26" s="297"/>
      <c r="N26" s="297"/>
      <c r="O26" s="313"/>
      <c r="P26" s="313"/>
      <c r="Q26" s="313"/>
      <c r="R26" s="316" t="str">
        <f>S25&amp;"-"&amp;U25</f>
        <v>-</v>
      </c>
      <c r="S26" s="1117"/>
      <c r="T26" s="1004"/>
      <c r="U26" s="1117"/>
      <c r="V26" s="1004"/>
      <c r="W26" s="313"/>
      <c r="X26" s="1135"/>
      <c r="AA26" s="87" t="str">
        <f t="shared" si="0"/>
        <v/>
      </c>
      <c r="AD26" s="17">
        <v>11</v>
      </c>
    </row>
    <row r="27" spans="1:30" ht="15.75" customHeight="1">
      <c r="A27" s="353" t="s">
        <v>171</v>
      </c>
      <c r="B27" s="353" t="s">
        <v>172</v>
      </c>
      <c r="C27" s="353" t="s">
        <v>173</v>
      </c>
      <c r="D27" s="353" t="s">
        <v>174</v>
      </c>
      <c r="F27" s="964"/>
      <c r="G27" s="964"/>
      <c r="I27" s="964"/>
      <c r="J27" s="964"/>
      <c r="K27" s="307"/>
      <c r="L27" s="318"/>
      <c r="M27" s="319" t="s">
        <v>412</v>
      </c>
      <c r="N27" s="117"/>
      <c r="O27" s="117"/>
      <c r="P27" s="117"/>
      <c r="Q27" s="117"/>
      <c r="R27" s="117"/>
      <c r="S27" s="117"/>
      <c r="T27" s="117"/>
      <c r="U27" s="117"/>
      <c r="V27" s="117"/>
      <c r="W27" s="320"/>
      <c r="X27" s="1136"/>
      <c r="AA27" s="87" t="str">
        <f t="shared" si="0"/>
        <v>Добавить вид теплоносителя (параметры теплоносителя)</v>
      </c>
      <c r="AD27" s="17">
        <v>15</v>
      </c>
    </row>
    <row r="28" spans="1:30" ht="15.75" customHeight="1">
      <c r="A28" s="353" t="s">
        <v>171</v>
      </c>
      <c r="B28" s="353" t="s">
        <v>172</v>
      </c>
      <c r="C28" s="353" t="s">
        <v>173</v>
      </c>
      <c r="D28" s="353" t="s">
        <v>174</v>
      </c>
      <c r="F28" s="964"/>
      <c r="I28" s="964"/>
      <c r="K28" s="307"/>
      <c r="L28" s="318"/>
      <c r="M28" s="321" t="s">
        <v>413</v>
      </c>
      <c r="N28" s="117"/>
      <c r="O28" s="117"/>
      <c r="P28" s="117"/>
      <c r="Q28" s="117"/>
      <c r="R28" s="117"/>
      <c r="S28" s="117"/>
      <c r="T28" s="117"/>
      <c r="U28" s="117"/>
      <c r="V28" s="322"/>
      <c r="W28" s="117"/>
      <c r="X28" s="323"/>
      <c r="AA28" s="87" t="str">
        <f t="shared" si="0"/>
        <v>Добавить группу потребителей</v>
      </c>
      <c r="AD28" s="17">
        <v>15</v>
      </c>
    </row>
    <row r="29" spans="1:30" ht="14.65" customHeight="1">
      <c r="A29" s="353" t="s">
        <v>171</v>
      </c>
      <c r="B29" s="353" t="s">
        <v>172</v>
      </c>
      <c r="C29" s="353" t="s">
        <v>173</v>
      </c>
      <c r="D29" s="353" t="s">
        <v>174</v>
      </c>
      <c r="K29" s="294"/>
      <c r="L29" s="318"/>
      <c r="M29" s="324" t="s">
        <v>414</v>
      </c>
      <c r="N29" s="117"/>
      <c r="O29" s="117"/>
      <c r="P29" s="117"/>
      <c r="Q29" s="117"/>
      <c r="R29" s="117"/>
      <c r="S29" s="117"/>
      <c r="T29" s="117"/>
      <c r="U29" s="117"/>
      <c r="V29" s="322"/>
      <c r="W29" s="117"/>
      <c r="X29" s="323"/>
      <c r="AA29" s="87" t="str">
        <f t="shared" si="0"/>
        <v>Добавить схему подключения</v>
      </c>
      <c r="AD29" s="17">
        <v>14</v>
      </c>
    </row>
    <row r="30" spans="1:30" ht="14.65" customHeight="1">
      <c r="A30" s="353" t="s">
        <v>171</v>
      </c>
      <c r="B30" s="353" t="s">
        <v>172</v>
      </c>
      <c r="C30" s="353" t="s">
        <v>173</v>
      </c>
      <c r="E30" s="353" t="s">
        <v>587</v>
      </c>
      <c r="K30" s="294"/>
      <c r="L30" s="928"/>
      <c r="M30" s="929"/>
      <c r="N30" s="930"/>
      <c r="O30" s="930"/>
      <c r="P30" s="930"/>
      <c r="Q30" s="930"/>
      <c r="R30" s="930"/>
      <c r="S30" s="930"/>
      <c r="T30" s="930"/>
      <c r="U30" s="930"/>
      <c r="V30" s="931"/>
      <c r="W30" s="930"/>
      <c r="X30" s="932"/>
      <c r="AA30" s="87" t="str">
        <f t="shared" si="0"/>
        <v/>
      </c>
      <c r="AD30" s="17">
        <v>14</v>
      </c>
    </row>
    <row r="31" spans="1:30" ht="14.65" customHeight="1">
      <c r="A31" s="353" t="s">
        <v>171</v>
      </c>
      <c r="B31" s="353" t="s">
        <v>172</v>
      </c>
      <c r="E31" s="353" t="s">
        <v>2230</v>
      </c>
      <c r="K31" s="861"/>
      <c r="L31" s="928"/>
      <c r="M31" s="933"/>
      <c r="N31" s="930"/>
      <c r="O31" s="930"/>
      <c r="P31" s="930"/>
      <c r="Q31" s="930"/>
      <c r="R31" s="930"/>
      <c r="S31" s="930"/>
      <c r="T31" s="930"/>
      <c r="U31" s="930"/>
      <c r="V31" s="931"/>
      <c r="W31" s="930"/>
      <c r="X31" s="932"/>
      <c r="AA31" s="87" t="str">
        <f t="shared" si="0"/>
        <v/>
      </c>
      <c r="AD31" s="17">
        <v>14</v>
      </c>
    </row>
    <row r="32" spans="1:30" ht="14.65" customHeight="1">
      <c r="A32" s="353" t="s">
        <v>2231</v>
      </c>
      <c r="E32" s="353" t="s">
        <v>105</v>
      </c>
      <c r="K32" s="294"/>
      <c r="L32" s="928"/>
      <c r="M32" s="934"/>
      <c r="N32" s="930"/>
      <c r="O32" s="930"/>
      <c r="P32" s="930"/>
      <c r="Q32" s="930"/>
      <c r="R32" s="930"/>
      <c r="S32" s="930"/>
      <c r="T32" s="930"/>
      <c r="U32" s="930"/>
      <c r="V32" s="931"/>
      <c r="W32" s="930"/>
      <c r="X32" s="932"/>
      <c r="AA32" s="87" t="str">
        <f t="shared" si="0"/>
        <v/>
      </c>
      <c r="AD32" s="17">
        <v>14</v>
      </c>
    </row>
    <row r="33" spans="1:30" ht="11.45" customHeight="1">
      <c r="E33" s="353" t="s">
        <v>449</v>
      </c>
      <c r="L33" s="935"/>
      <c r="M33" s="936"/>
      <c r="N33" s="930"/>
      <c r="O33" s="930"/>
      <c r="P33" s="930"/>
      <c r="Q33" s="930"/>
      <c r="R33" s="930"/>
      <c r="S33" s="930"/>
      <c r="T33" s="930"/>
      <c r="U33" s="930"/>
      <c r="V33" s="931"/>
      <c r="W33" s="930"/>
      <c r="X33" s="932"/>
      <c r="AD33" s="97">
        <v>11</v>
      </c>
    </row>
    <row r="34" spans="1:30" ht="11.45" customHeight="1">
      <c r="AD34" s="17">
        <v>11</v>
      </c>
    </row>
    <row r="35" spans="1:30" ht="28.5" customHeight="1">
      <c r="L35" s="544" t="s">
        <v>805</v>
      </c>
      <c r="M35" s="1215" t="s">
        <v>2232</v>
      </c>
      <c r="N35" s="964"/>
      <c r="O35" s="964"/>
      <c r="P35" s="964"/>
      <c r="Q35" s="964"/>
      <c r="R35" s="964"/>
      <c r="S35" s="964"/>
      <c r="T35" s="964"/>
      <c r="U35" s="964"/>
      <c r="V35" s="964"/>
      <c r="W35" s="964"/>
      <c r="X35" s="964"/>
      <c r="AD35" s="17">
        <v>27</v>
      </c>
    </row>
    <row r="36" spans="1:30" ht="109.15" customHeight="1">
      <c r="M36" s="1215" t="s">
        <v>2233</v>
      </c>
      <c r="N36" s="964"/>
      <c r="O36" s="964"/>
      <c r="P36" s="964"/>
      <c r="Q36" s="964"/>
      <c r="R36" s="964"/>
      <c r="S36" s="964"/>
      <c r="T36" s="964"/>
      <c r="U36" s="964"/>
      <c r="V36" s="964"/>
      <c r="W36" s="964"/>
      <c r="X36" s="964"/>
      <c r="AD36" s="17">
        <v>104</v>
      </c>
    </row>
    <row r="37" spans="1:30" ht="14.65" customHeight="1">
      <c r="AD37" s="17">
        <v>14</v>
      </c>
    </row>
    <row r="38" spans="1:30" ht="14.65" customHeight="1">
      <c r="AD38" s="17">
        <v>14</v>
      </c>
    </row>
    <row r="39" spans="1:30" ht="14.65" customHeight="1">
      <c r="AD39" s="17">
        <v>14</v>
      </c>
    </row>
    <row r="40" spans="1:30" ht="14.65" customHeight="1">
      <c r="AD40" s="17">
        <v>14</v>
      </c>
    </row>
    <row r="41" spans="1:30" ht="22.5" hidden="1" customHeight="1">
      <c r="A41" s="37" t="s">
        <v>82</v>
      </c>
      <c r="B41" s="37">
        <v>0</v>
      </c>
      <c r="C41" s="37">
        <v>0</v>
      </c>
      <c r="D41" s="37">
        <v>0</v>
      </c>
      <c r="E41" s="37">
        <v>0</v>
      </c>
      <c r="F41" s="41">
        <v>0</v>
      </c>
      <c r="G41" s="41">
        <v>0</v>
      </c>
      <c r="H41" s="41">
        <v>0</v>
      </c>
      <c r="I41" s="356">
        <v>3</v>
      </c>
      <c r="J41" s="357">
        <v>3</v>
      </c>
      <c r="K41" s="357">
        <v>3</v>
      </c>
      <c r="L41" s="33">
        <v>12</v>
      </c>
      <c r="M41" s="17">
        <v>31</v>
      </c>
      <c r="N41" s="17">
        <v>1</v>
      </c>
      <c r="O41" s="17">
        <v>24</v>
      </c>
      <c r="P41" s="17">
        <v>24</v>
      </c>
      <c r="Q41" s="17">
        <v>24</v>
      </c>
      <c r="R41" s="17">
        <v>24</v>
      </c>
      <c r="S41" s="17">
        <v>11</v>
      </c>
      <c r="T41" s="17">
        <v>3</v>
      </c>
      <c r="U41" s="17">
        <v>11</v>
      </c>
      <c r="V41" s="17">
        <v>8</v>
      </c>
      <c r="W41" s="17">
        <v>4</v>
      </c>
      <c r="X41" s="17">
        <v>115</v>
      </c>
      <c r="Y41" s="75">
        <v>10</v>
      </c>
      <c r="Z41" s="75">
        <v>10</v>
      </c>
      <c r="AA41" s="75">
        <v>10</v>
      </c>
      <c r="AB41" s="75">
        <v>10</v>
      </c>
      <c r="AC41" s="75">
        <v>10</v>
      </c>
      <c r="AD41" s="17">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BFFC-5F23-F977-0E98-5A6F3D0C4B0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C8BB-1021-B234-2122-88FE64DC030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C518-FC5F-A972-59C2-3C3EBFCEFC7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8424-736A-73B3-F058-275CD76ABF5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C128-33B9-682F-60E3-AE506564E9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83DF-EDBB-3B59-CAE1-9FEF75A9D5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C32E-B775-12B3-65ED-AE626579AF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988B-2185-B149-A83D-1C431C3489F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13D9-2E98-211A-6F2E-956C5C51D417}">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48" t="s">
        <v>2234</v>
      </c>
      <c r="B1" s="677" t="s">
        <v>2235</v>
      </c>
      <c r="C1" s="1387" t="s">
        <v>2236</v>
      </c>
      <c r="D1" s="1388"/>
      <c r="E1" s="148" t="s">
        <v>2237</v>
      </c>
    </row>
    <row r="2" spans="1:5" ht="11.25" customHeight="1">
      <c r="A2" s="938"/>
      <c r="B2" s="937" t="s">
        <v>27</v>
      </c>
      <c r="C2" s="148"/>
      <c r="D2" s="677"/>
      <c r="E2" s="148"/>
    </row>
    <row r="3" spans="1:5" ht="11.25" customHeight="1">
      <c r="A3" s="939"/>
      <c r="B3" s="940" t="s">
        <v>33</v>
      </c>
      <c r="C3" s="148"/>
      <c r="D3" s="677"/>
      <c r="E3" s="148"/>
    </row>
    <row r="4" spans="1:5" ht="11.25" customHeight="1">
      <c r="A4" s="941"/>
      <c r="B4" s="940" t="s">
        <v>1661</v>
      </c>
      <c r="C4" s="148"/>
      <c r="D4" s="677"/>
      <c r="E4" s="148"/>
    </row>
    <row r="5" spans="1:5" ht="11.25" customHeight="1">
      <c r="A5" s="942"/>
      <c r="B5" s="940" t="s">
        <v>1655</v>
      </c>
      <c r="C5" s="943" t="s">
        <v>2001</v>
      </c>
      <c r="D5" s="944" t="s">
        <v>2238</v>
      </c>
      <c r="E5" s="148"/>
    </row>
    <row r="6" spans="1:5" ht="11.25" customHeight="1">
      <c r="A6" s="945"/>
      <c r="B6" s="940" t="s">
        <v>1665</v>
      </c>
      <c r="C6" s="148"/>
      <c r="D6" s="677"/>
      <c r="E6" s="148"/>
    </row>
    <row r="7" spans="1:5" ht="11.25" customHeight="1">
      <c r="A7" s="946"/>
      <c r="B7" s="940" t="s">
        <v>1673</v>
      </c>
      <c r="C7" s="148"/>
      <c r="D7" s="677"/>
      <c r="E7" s="148"/>
    </row>
    <row r="8" spans="1:5" ht="11.25" customHeight="1">
      <c r="A8" s="943"/>
      <c r="B8" s="940" t="s">
        <v>1668</v>
      </c>
      <c r="C8" s="148"/>
      <c r="D8" s="677"/>
      <c r="E8" s="1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541C-79C1-8019-BE98-DB601D83D5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72603-1428-67E1-6E54-7890C0394D7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4DE7-8CB3-FE7B-14AE-8926BB811E25}">
  <sheetPr>
    <tabColor rgb="FFFFCC99"/>
  </sheetPr>
  <dimension ref="A1:I432"/>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s="97" t="s">
        <v>2239</v>
      </c>
      <c r="B1" s="97" t="s">
        <v>2240</v>
      </c>
      <c r="C1" s="97" t="s">
        <v>2241</v>
      </c>
      <c r="D1" s="97" t="s">
        <v>2242</v>
      </c>
      <c r="E1" s="97" t="s">
        <v>2243</v>
      </c>
      <c r="F1" s="97" t="s">
        <v>2244</v>
      </c>
      <c r="G1" s="97" t="s">
        <v>2245</v>
      </c>
      <c r="H1" s="97" t="s">
        <v>2246</v>
      </c>
      <c r="I1" s="97" t="s">
        <v>2247</v>
      </c>
    </row>
    <row r="2" spans="1:9" ht="11.25" customHeight="1">
      <c r="A2" t="s">
        <v>2248</v>
      </c>
      <c r="B2" t="s">
        <v>16</v>
      </c>
      <c r="C2" t="s">
        <v>2249</v>
      </c>
      <c r="D2" t="s">
        <v>2250</v>
      </c>
      <c r="E2" t="s">
        <v>2251</v>
      </c>
      <c r="F2" t="s">
        <v>2252</v>
      </c>
      <c r="G2" t="s">
        <v>22</v>
      </c>
      <c r="H2" t="s">
        <v>22</v>
      </c>
      <c r="I2" t="s">
        <v>809</v>
      </c>
    </row>
    <row r="3" spans="1:9" ht="11.25" customHeight="1">
      <c r="A3" t="s">
        <v>2248</v>
      </c>
      <c r="B3" t="s">
        <v>16</v>
      </c>
      <c r="C3" t="s">
        <v>2253</v>
      </c>
      <c r="D3" t="s">
        <v>2250</v>
      </c>
      <c r="E3" t="s">
        <v>2251</v>
      </c>
      <c r="F3" t="s">
        <v>2254</v>
      </c>
      <c r="G3" t="s">
        <v>22</v>
      </c>
      <c r="H3" t="s">
        <v>22</v>
      </c>
      <c r="I3" t="s">
        <v>809</v>
      </c>
    </row>
    <row r="4" spans="1:9" ht="11.25" customHeight="1">
      <c r="A4" t="s">
        <v>2248</v>
      </c>
      <c r="B4" t="s">
        <v>16</v>
      </c>
      <c r="C4" t="s">
        <v>2255</v>
      </c>
      <c r="D4" t="s">
        <v>2256</v>
      </c>
      <c r="E4" t="s">
        <v>2257</v>
      </c>
      <c r="F4" t="s">
        <v>2258</v>
      </c>
      <c r="G4" t="s">
        <v>2259</v>
      </c>
      <c r="H4" t="s">
        <v>22</v>
      </c>
      <c r="I4" t="s">
        <v>809</v>
      </c>
    </row>
    <row r="5" spans="1:9" ht="11.25" customHeight="1">
      <c r="A5" t="s">
        <v>2248</v>
      </c>
      <c r="B5" t="s">
        <v>16</v>
      </c>
      <c r="C5" t="s">
        <v>2260</v>
      </c>
      <c r="D5" t="s">
        <v>2261</v>
      </c>
      <c r="E5" t="s">
        <v>2262</v>
      </c>
      <c r="F5" t="s">
        <v>2263</v>
      </c>
      <c r="G5" t="s">
        <v>2264</v>
      </c>
      <c r="H5" t="s">
        <v>22</v>
      </c>
      <c r="I5" t="s">
        <v>809</v>
      </c>
    </row>
    <row r="6" spans="1:9" ht="11.25" customHeight="1">
      <c r="A6" t="s">
        <v>2248</v>
      </c>
      <c r="B6" t="s">
        <v>16</v>
      </c>
      <c r="C6" t="s">
        <v>2265</v>
      </c>
      <c r="D6" t="s">
        <v>2266</v>
      </c>
      <c r="E6" t="s">
        <v>2267</v>
      </c>
      <c r="F6" t="s">
        <v>2268</v>
      </c>
      <c r="G6" t="s">
        <v>2269</v>
      </c>
      <c r="H6" t="s">
        <v>22</v>
      </c>
      <c r="I6" t="s">
        <v>809</v>
      </c>
    </row>
    <row r="7" spans="1:9" ht="11.25" customHeight="1">
      <c r="A7" t="s">
        <v>2248</v>
      </c>
      <c r="B7" t="s">
        <v>16</v>
      </c>
      <c r="C7" t="s">
        <v>2270</v>
      </c>
      <c r="D7" t="s">
        <v>2271</v>
      </c>
      <c r="E7" t="s">
        <v>2272</v>
      </c>
      <c r="F7" t="s">
        <v>2273</v>
      </c>
      <c r="G7" t="s">
        <v>2274</v>
      </c>
      <c r="H7" t="s">
        <v>22</v>
      </c>
      <c r="I7" t="s">
        <v>809</v>
      </c>
    </row>
    <row r="8" spans="1:9" ht="11.25" customHeight="1">
      <c r="A8" t="s">
        <v>2248</v>
      </c>
      <c r="B8" t="s">
        <v>16</v>
      </c>
      <c r="C8" t="s">
        <v>2275</v>
      </c>
      <c r="D8" t="s">
        <v>2276</v>
      </c>
      <c r="E8" t="s">
        <v>2277</v>
      </c>
      <c r="F8" t="s">
        <v>2278</v>
      </c>
      <c r="G8" t="s">
        <v>22</v>
      </c>
      <c r="H8" t="s">
        <v>22</v>
      </c>
      <c r="I8" t="s">
        <v>809</v>
      </c>
    </row>
    <row r="9" spans="1:9" ht="11.25" customHeight="1">
      <c r="A9" t="s">
        <v>2248</v>
      </c>
      <c r="B9" t="s">
        <v>16</v>
      </c>
      <c r="C9" t="s">
        <v>2279</v>
      </c>
      <c r="D9" t="s">
        <v>2280</v>
      </c>
      <c r="E9" t="s">
        <v>2281</v>
      </c>
      <c r="F9" t="s">
        <v>2282</v>
      </c>
      <c r="G9" t="s">
        <v>22</v>
      </c>
      <c r="H9" t="s">
        <v>22</v>
      </c>
      <c r="I9" t="s">
        <v>809</v>
      </c>
    </row>
    <row r="10" spans="1:9" ht="11.25" customHeight="1">
      <c r="A10" t="s">
        <v>2248</v>
      </c>
      <c r="B10" t="s">
        <v>16</v>
      </c>
      <c r="C10" t="s">
        <v>2283</v>
      </c>
      <c r="D10" t="s">
        <v>2284</v>
      </c>
      <c r="E10" t="s">
        <v>2285</v>
      </c>
      <c r="F10" t="s">
        <v>2286</v>
      </c>
      <c r="G10" t="s">
        <v>22</v>
      </c>
      <c r="H10" t="s">
        <v>22</v>
      </c>
      <c r="I10" t="s">
        <v>809</v>
      </c>
    </row>
    <row r="11" spans="1:9" ht="11.25" customHeight="1">
      <c r="A11" t="s">
        <v>2248</v>
      </c>
      <c r="B11" t="s">
        <v>16</v>
      </c>
      <c r="C11" t="s">
        <v>2287</v>
      </c>
      <c r="D11" t="s">
        <v>2288</v>
      </c>
      <c r="E11" t="s">
        <v>2289</v>
      </c>
      <c r="F11" t="s">
        <v>2290</v>
      </c>
      <c r="G11" t="s">
        <v>22</v>
      </c>
      <c r="H11" t="s">
        <v>22</v>
      </c>
      <c r="I11" t="s">
        <v>809</v>
      </c>
    </row>
    <row r="12" spans="1:9" ht="11.25" customHeight="1">
      <c r="A12" t="s">
        <v>2248</v>
      </c>
      <c r="B12" t="s">
        <v>16</v>
      </c>
      <c r="C12" t="s">
        <v>2291</v>
      </c>
      <c r="D12" t="s">
        <v>2292</v>
      </c>
      <c r="E12" t="s">
        <v>2293</v>
      </c>
      <c r="F12" t="s">
        <v>2258</v>
      </c>
      <c r="G12" t="s">
        <v>2294</v>
      </c>
      <c r="H12" t="s">
        <v>22</v>
      </c>
      <c r="I12" t="s">
        <v>809</v>
      </c>
    </row>
    <row r="13" spans="1:9" ht="11.25" customHeight="1">
      <c r="A13" t="s">
        <v>2248</v>
      </c>
      <c r="B13" t="s">
        <v>16</v>
      </c>
      <c r="C13" t="s">
        <v>2295</v>
      </c>
      <c r="D13" t="s">
        <v>2296</v>
      </c>
      <c r="E13" t="s">
        <v>2297</v>
      </c>
      <c r="F13" t="s">
        <v>2278</v>
      </c>
      <c r="G13" t="s">
        <v>22</v>
      </c>
      <c r="H13" t="s">
        <v>2298</v>
      </c>
      <c r="I13" t="s">
        <v>809</v>
      </c>
    </row>
    <row r="14" spans="1:9" ht="11.25" customHeight="1">
      <c r="A14" t="s">
        <v>2248</v>
      </c>
      <c r="B14" t="s">
        <v>16</v>
      </c>
      <c r="C14" t="s">
        <v>2299</v>
      </c>
      <c r="D14" t="s">
        <v>2300</v>
      </c>
      <c r="E14" t="s">
        <v>2301</v>
      </c>
      <c r="F14" t="s">
        <v>2258</v>
      </c>
      <c r="G14" t="s">
        <v>22</v>
      </c>
      <c r="H14" t="s">
        <v>22</v>
      </c>
      <c r="I14" t="s">
        <v>809</v>
      </c>
    </row>
    <row r="15" spans="1:9" ht="11.25" customHeight="1">
      <c r="A15" t="s">
        <v>2248</v>
      </c>
      <c r="B15" t="s">
        <v>16</v>
      </c>
      <c r="C15" t="s">
        <v>2302</v>
      </c>
      <c r="D15" t="s">
        <v>2303</v>
      </c>
      <c r="E15" t="s">
        <v>2304</v>
      </c>
      <c r="F15" t="s">
        <v>2258</v>
      </c>
      <c r="G15" t="s">
        <v>22</v>
      </c>
      <c r="H15" t="s">
        <v>22</v>
      </c>
      <c r="I15" t="s">
        <v>809</v>
      </c>
    </row>
    <row r="16" spans="1:9" ht="11.25" customHeight="1">
      <c r="A16" t="s">
        <v>2248</v>
      </c>
      <c r="B16" t="s">
        <v>16</v>
      </c>
      <c r="C16" t="s">
        <v>2305</v>
      </c>
      <c r="D16" t="s">
        <v>2306</v>
      </c>
      <c r="E16" t="s">
        <v>2307</v>
      </c>
      <c r="F16" t="s">
        <v>2308</v>
      </c>
      <c r="G16" t="s">
        <v>22</v>
      </c>
      <c r="H16" t="s">
        <v>22</v>
      </c>
      <c r="I16" t="s">
        <v>809</v>
      </c>
    </row>
    <row r="17" spans="1:9" ht="11.25" customHeight="1">
      <c r="A17" t="s">
        <v>2248</v>
      </c>
      <c r="B17" t="s">
        <v>16</v>
      </c>
      <c r="C17" t="s">
        <v>2309</v>
      </c>
      <c r="D17" t="s">
        <v>2310</v>
      </c>
      <c r="E17" t="s">
        <v>2311</v>
      </c>
      <c r="F17" t="s">
        <v>2312</v>
      </c>
      <c r="G17" t="s">
        <v>22</v>
      </c>
      <c r="H17" t="s">
        <v>22</v>
      </c>
      <c r="I17" t="s">
        <v>809</v>
      </c>
    </row>
    <row r="18" spans="1:9" ht="11.25" customHeight="1">
      <c r="A18" t="s">
        <v>2248</v>
      </c>
      <c r="B18" t="s">
        <v>16</v>
      </c>
      <c r="C18" t="s">
        <v>2313</v>
      </c>
      <c r="D18" t="s">
        <v>2314</v>
      </c>
      <c r="E18" t="s">
        <v>2315</v>
      </c>
      <c r="F18" t="s">
        <v>2316</v>
      </c>
      <c r="G18" t="s">
        <v>22</v>
      </c>
      <c r="H18" t="s">
        <v>22</v>
      </c>
      <c r="I18" t="s">
        <v>809</v>
      </c>
    </row>
    <row r="19" spans="1:9" ht="11.25" customHeight="1">
      <c r="A19" t="s">
        <v>2248</v>
      </c>
      <c r="B19" t="s">
        <v>16</v>
      </c>
      <c r="C19" t="s">
        <v>2317</v>
      </c>
      <c r="D19" t="s">
        <v>2318</v>
      </c>
      <c r="E19" t="s">
        <v>2319</v>
      </c>
      <c r="F19" t="s">
        <v>2320</v>
      </c>
      <c r="G19" t="s">
        <v>22</v>
      </c>
      <c r="H19" t="s">
        <v>22</v>
      </c>
      <c r="I19" t="s">
        <v>809</v>
      </c>
    </row>
    <row r="20" spans="1:9" ht="11.25" customHeight="1">
      <c r="A20" t="s">
        <v>2248</v>
      </c>
      <c r="B20" t="s">
        <v>16</v>
      </c>
      <c r="C20" t="s">
        <v>2321</v>
      </c>
      <c r="D20" t="s">
        <v>2322</v>
      </c>
      <c r="E20" t="s">
        <v>2323</v>
      </c>
      <c r="F20" t="s">
        <v>2324</v>
      </c>
      <c r="G20" t="s">
        <v>22</v>
      </c>
      <c r="H20" t="s">
        <v>22</v>
      </c>
      <c r="I20" t="s">
        <v>809</v>
      </c>
    </row>
    <row r="21" spans="1:9" ht="11.25" customHeight="1">
      <c r="A21" t="s">
        <v>2248</v>
      </c>
      <c r="B21" t="s">
        <v>16</v>
      </c>
      <c r="C21" t="s">
        <v>2325</v>
      </c>
      <c r="D21" t="s">
        <v>2326</v>
      </c>
      <c r="E21" t="s">
        <v>2327</v>
      </c>
      <c r="F21" t="s">
        <v>2328</v>
      </c>
      <c r="G21" t="s">
        <v>22</v>
      </c>
      <c r="H21" t="s">
        <v>22</v>
      </c>
      <c r="I21" t="s">
        <v>809</v>
      </c>
    </row>
    <row r="22" spans="1:9" ht="11.25" customHeight="1">
      <c r="A22" t="s">
        <v>2248</v>
      </c>
      <c r="B22" t="s">
        <v>16</v>
      </c>
      <c r="C22" t="s">
        <v>2329</v>
      </c>
      <c r="D22" t="s">
        <v>2330</v>
      </c>
      <c r="E22" t="s">
        <v>2331</v>
      </c>
      <c r="F22" t="s">
        <v>2324</v>
      </c>
      <c r="G22" t="s">
        <v>22</v>
      </c>
      <c r="H22" t="s">
        <v>22</v>
      </c>
      <c r="I22" t="s">
        <v>809</v>
      </c>
    </row>
    <row r="23" spans="1:9" ht="11.25" customHeight="1">
      <c r="A23" t="s">
        <v>2248</v>
      </c>
      <c r="B23" t="s">
        <v>16</v>
      </c>
      <c r="C23" t="s">
        <v>2332</v>
      </c>
      <c r="D23" t="s">
        <v>2333</v>
      </c>
      <c r="E23" t="s">
        <v>2334</v>
      </c>
      <c r="F23" t="s">
        <v>2335</v>
      </c>
      <c r="G23" t="s">
        <v>2336</v>
      </c>
      <c r="H23" t="s">
        <v>22</v>
      </c>
      <c r="I23" t="s">
        <v>809</v>
      </c>
    </row>
    <row r="24" spans="1:9" ht="11.25" customHeight="1">
      <c r="A24" t="s">
        <v>2248</v>
      </c>
      <c r="B24" t="s">
        <v>16</v>
      </c>
      <c r="C24" t="s">
        <v>2337</v>
      </c>
      <c r="D24" t="s">
        <v>2338</v>
      </c>
      <c r="E24" t="s">
        <v>2339</v>
      </c>
      <c r="F24" t="s">
        <v>2324</v>
      </c>
      <c r="G24" t="s">
        <v>22</v>
      </c>
      <c r="H24" t="s">
        <v>22</v>
      </c>
      <c r="I24" t="s">
        <v>809</v>
      </c>
    </row>
    <row r="25" spans="1:9" ht="11.25" customHeight="1">
      <c r="A25" t="s">
        <v>2248</v>
      </c>
      <c r="B25" t="s">
        <v>16</v>
      </c>
      <c r="C25" t="s">
        <v>2340</v>
      </c>
      <c r="D25" t="s">
        <v>2341</v>
      </c>
      <c r="E25" t="s">
        <v>2342</v>
      </c>
      <c r="F25" t="s">
        <v>2343</v>
      </c>
      <c r="G25" t="s">
        <v>22</v>
      </c>
      <c r="H25" t="s">
        <v>22</v>
      </c>
      <c r="I25" t="s">
        <v>809</v>
      </c>
    </row>
    <row r="26" spans="1:9" ht="11.25" customHeight="1">
      <c r="A26" t="s">
        <v>2248</v>
      </c>
      <c r="B26" t="s">
        <v>16</v>
      </c>
      <c r="C26" t="s">
        <v>2344</v>
      </c>
      <c r="D26" t="s">
        <v>2345</v>
      </c>
      <c r="E26" t="s">
        <v>2346</v>
      </c>
      <c r="F26" t="s">
        <v>2347</v>
      </c>
      <c r="G26" t="s">
        <v>22</v>
      </c>
      <c r="H26" t="s">
        <v>22</v>
      </c>
      <c r="I26" t="s">
        <v>809</v>
      </c>
    </row>
    <row r="27" spans="1:9" ht="11.25" customHeight="1">
      <c r="A27" t="s">
        <v>2248</v>
      </c>
      <c r="B27" t="s">
        <v>16</v>
      </c>
      <c r="C27" t="s">
        <v>2348</v>
      </c>
      <c r="D27" t="s">
        <v>2349</v>
      </c>
      <c r="E27" t="s">
        <v>2350</v>
      </c>
      <c r="F27" t="s">
        <v>2351</v>
      </c>
      <c r="G27" t="s">
        <v>22</v>
      </c>
      <c r="H27" t="s">
        <v>22</v>
      </c>
      <c r="I27" t="s">
        <v>809</v>
      </c>
    </row>
    <row r="28" spans="1:9" ht="11.25" customHeight="1">
      <c r="A28" t="s">
        <v>2248</v>
      </c>
      <c r="B28" t="s">
        <v>16</v>
      </c>
      <c r="C28" t="s">
        <v>2352</v>
      </c>
      <c r="D28" t="s">
        <v>2349</v>
      </c>
      <c r="E28" t="s">
        <v>2350</v>
      </c>
      <c r="F28" t="s">
        <v>2273</v>
      </c>
      <c r="G28" t="s">
        <v>22</v>
      </c>
      <c r="H28" t="s">
        <v>22</v>
      </c>
      <c r="I28" t="s">
        <v>809</v>
      </c>
    </row>
    <row r="29" spans="1:9" ht="11.25" customHeight="1">
      <c r="A29" t="s">
        <v>2248</v>
      </c>
      <c r="B29" t="s">
        <v>16</v>
      </c>
      <c r="C29" t="s">
        <v>2353</v>
      </c>
      <c r="D29" t="s">
        <v>2354</v>
      </c>
      <c r="E29" t="s">
        <v>2355</v>
      </c>
      <c r="F29" t="s">
        <v>2356</v>
      </c>
      <c r="G29" t="s">
        <v>22</v>
      </c>
      <c r="H29" t="s">
        <v>22</v>
      </c>
      <c r="I29" t="s">
        <v>809</v>
      </c>
    </row>
    <row r="30" spans="1:9" ht="11.25" customHeight="1">
      <c r="A30" t="s">
        <v>2248</v>
      </c>
      <c r="B30" t="s">
        <v>16</v>
      </c>
      <c r="C30" t="s">
        <v>2357</v>
      </c>
      <c r="D30" t="s">
        <v>2358</v>
      </c>
      <c r="E30" t="s">
        <v>2359</v>
      </c>
      <c r="F30" t="s">
        <v>2335</v>
      </c>
      <c r="G30" t="s">
        <v>22</v>
      </c>
      <c r="H30" t="s">
        <v>22</v>
      </c>
      <c r="I30" t="s">
        <v>809</v>
      </c>
    </row>
    <row r="31" spans="1:9" ht="11.25" customHeight="1">
      <c r="A31" t="s">
        <v>2248</v>
      </c>
      <c r="B31" t="s">
        <v>16</v>
      </c>
      <c r="C31" t="s">
        <v>2360</v>
      </c>
      <c r="D31" t="s">
        <v>2361</v>
      </c>
      <c r="E31" t="s">
        <v>2362</v>
      </c>
      <c r="F31" t="s">
        <v>2363</v>
      </c>
      <c r="G31" t="s">
        <v>22</v>
      </c>
      <c r="H31" t="s">
        <v>22</v>
      </c>
      <c r="I31" t="s">
        <v>809</v>
      </c>
    </row>
    <row r="32" spans="1:9" ht="11.25" customHeight="1">
      <c r="A32" t="s">
        <v>2248</v>
      </c>
      <c r="B32" t="s">
        <v>16</v>
      </c>
      <c r="C32" t="s">
        <v>2364</v>
      </c>
      <c r="D32" t="s">
        <v>2365</v>
      </c>
      <c r="E32" t="s">
        <v>2366</v>
      </c>
      <c r="F32" t="s">
        <v>2367</v>
      </c>
      <c r="G32" t="s">
        <v>22</v>
      </c>
      <c r="H32" t="s">
        <v>22</v>
      </c>
      <c r="I32" t="s">
        <v>809</v>
      </c>
    </row>
    <row r="33" spans="1:9" ht="11.25" customHeight="1">
      <c r="A33" t="s">
        <v>2248</v>
      </c>
      <c r="B33" t="s">
        <v>16</v>
      </c>
      <c r="C33" t="s">
        <v>2368</v>
      </c>
      <c r="D33" t="s">
        <v>2369</v>
      </c>
      <c r="E33" t="s">
        <v>2370</v>
      </c>
      <c r="F33" t="s">
        <v>2278</v>
      </c>
      <c r="G33" t="s">
        <v>22</v>
      </c>
      <c r="H33" t="s">
        <v>22</v>
      </c>
      <c r="I33" t="s">
        <v>809</v>
      </c>
    </row>
    <row r="34" spans="1:9" ht="11.25" customHeight="1">
      <c r="A34" t="s">
        <v>2248</v>
      </c>
      <c r="B34" t="s">
        <v>16</v>
      </c>
      <c r="C34" t="s">
        <v>2371</v>
      </c>
      <c r="D34" t="s">
        <v>2372</v>
      </c>
      <c r="E34" t="s">
        <v>2373</v>
      </c>
      <c r="F34" t="s">
        <v>2374</v>
      </c>
      <c r="G34" t="s">
        <v>2375</v>
      </c>
      <c r="H34" t="s">
        <v>22</v>
      </c>
      <c r="I34" t="s">
        <v>809</v>
      </c>
    </row>
    <row r="35" spans="1:9" ht="11.25" customHeight="1">
      <c r="A35" t="s">
        <v>2248</v>
      </c>
      <c r="B35" t="s">
        <v>16</v>
      </c>
      <c r="C35" t="s">
        <v>2376</v>
      </c>
      <c r="D35" t="s">
        <v>2377</v>
      </c>
      <c r="E35" t="s">
        <v>2378</v>
      </c>
      <c r="F35" t="s">
        <v>2379</v>
      </c>
      <c r="G35" t="s">
        <v>2380</v>
      </c>
      <c r="H35" t="s">
        <v>22</v>
      </c>
      <c r="I35" t="s">
        <v>809</v>
      </c>
    </row>
    <row r="36" spans="1:9" ht="11.25" customHeight="1">
      <c r="A36" t="s">
        <v>2248</v>
      </c>
      <c r="B36" t="s">
        <v>16</v>
      </c>
      <c r="C36" t="s">
        <v>2381</v>
      </c>
      <c r="D36" t="s">
        <v>2382</v>
      </c>
      <c r="E36" t="s">
        <v>2383</v>
      </c>
      <c r="F36" t="s">
        <v>2384</v>
      </c>
      <c r="G36" t="s">
        <v>22</v>
      </c>
      <c r="H36" t="s">
        <v>22</v>
      </c>
      <c r="I36" t="s">
        <v>809</v>
      </c>
    </row>
    <row r="37" spans="1:9" ht="11.25" customHeight="1">
      <c r="A37" t="s">
        <v>2248</v>
      </c>
      <c r="B37" t="s">
        <v>16</v>
      </c>
      <c r="C37" t="s">
        <v>2385</v>
      </c>
      <c r="D37" t="s">
        <v>2386</v>
      </c>
      <c r="E37" t="s">
        <v>2387</v>
      </c>
      <c r="F37" t="s">
        <v>2278</v>
      </c>
      <c r="G37" t="s">
        <v>22</v>
      </c>
      <c r="H37" t="s">
        <v>22</v>
      </c>
      <c r="I37" t="s">
        <v>809</v>
      </c>
    </row>
    <row r="38" spans="1:9" ht="11.25" customHeight="1">
      <c r="A38" t="s">
        <v>2248</v>
      </c>
      <c r="B38" t="s">
        <v>16</v>
      </c>
      <c r="C38" t="s">
        <v>2388</v>
      </c>
      <c r="D38" t="s">
        <v>2389</v>
      </c>
      <c r="E38" t="s">
        <v>2390</v>
      </c>
      <c r="F38" t="s">
        <v>2391</v>
      </c>
      <c r="G38" t="s">
        <v>2392</v>
      </c>
      <c r="H38" t="s">
        <v>22</v>
      </c>
      <c r="I38" t="s">
        <v>809</v>
      </c>
    </row>
    <row r="39" spans="1:9" ht="11.25" customHeight="1">
      <c r="A39" t="s">
        <v>2248</v>
      </c>
      <c r="B39" t="s">
        <v>16</v>
      </c>
      <c r="C39" t="s">
        <v>2393</v>
      </c>
      <c r="D39" t="s">
        <v>2394</v>
      </c>
      <c r="E39" t="s">
        <v>2395</v>
      </c>
      <c r="F39" t="s">
        <v>2396</v>
      </c>
      <c r="G39" t="s">
        <v>22</v>
      </c>
      <c r="H39" t="s">
        <v>22</v>
      </c>
      <c r="I39" t="s">
        <v>809</v>
      </c>
    </row>
    <row r="40" spans="1:9" ht="11.25" customHeight="1">
      <c r="A40" t="s">
        <v>2248</v>
      </c>
      <c r="B40" t="s">
        <v>16</v>
      </c>
      <c r="C40" t="s">
        <v>2397</v>
      </c>
      <c r="D40" t="s">
        <v>2398</v>
      </c>
      <c r="E40" t="s">
        <v>2399</v>
      </c>
      <c r="F40" t="s">
        <v>2258</v>
      </c>
      <c r="G40" t="s">
        <v>22</v>
      </c>
      <c r="H40" t="s">
        <v>22</v>
      </c>
      <c r="I40" t="s">
        <v>809</v>
      </c>
    </row>
    <row r="41" spans="1:9" ht="11.25" customHeight="1">
      <c r="A41" t="s">
        <v>2248</v>
      </c>
      <c r="B41" t="s">
        <v>16</v>
      </c>
      <c r="C41" t="s">
        <v>2400</v>
      </c>
      <c r="D41" t="s">
        <v>2401</v>
      </c>
      <c r="E41" t="s">
        <v>2402</v>
      </c>
      <c r="F41" t="s">
        <v>2258</v>
      </c>
      <c r="G41" t="s">
        <v>22</v>
      </c>
      <c r="H41" t="s">
        <v>22</v>
      </c>
      <c r="I41" t="s">
        <v>809</v>
      </c>
    </row>
    <row r="42" spans="1:9" ht="11.25" customHeight="1">
      <c r="A42" t="s">
        <v>2248</v>
      </c>
      <c r="B42" t="s">
        <v>16</v>
      </c>
      <c r="C42" t="s">
        <v>2403</v>
      </c>
      <c r="D42" t="s">
        <v>2404</v>
      </c>
      <c r="E42" t="s">
        <v>2405</v>
      </c>
      <c r="F42" t="s">
        <v>2278</v>
      </c>
      <c r="G42" t="s">
        <v>2406</v>
      </c>
      <c r="H42" t="s">
        <v>22</v>
      </c>
      <c r="I42" t="s">
        <v>809</v>
      </c>
    </row>
    <row r="43" spans="1:9" ht="11.25" customHeight="1">
      <c r="A43" t="s">
        <v>2248</v>
      </c>
      <c r="B43" t="s">
        <v>16</v>
      </c>
      <c r="C43" t="s">
        <v>2407</v>
      </c>
      <c r="D43" t="s">
        <v>2408</v>
      </c>
      <c r="E43" t="s">
        <v>2409</v>
      </c>
      <c r="F43" t="s">
        <v>2273</v>
      </c>
      <c r="G43" t="s">
        <v>22</v>
      </c>
      <c r="H43" t="s">
        <v>22</v>
      </c>
      <c r="I43" t="s">
        <v>809</v>
      </c>
    </row>
    <row r="44" spans="1:9" ht="11.25" customHeight="1">
      <c r="A44" t="s">
        <v>2248</v>
      </c>
      <c r="B44" t="s">
        <v>16</v>
      </c>
      <c r="C44" t="s">
        <v>2410</v>
      </c>
      <c r="D44" t="s">
        <v>2411</v>
      </c>
      <c r="E44" t="s">
        <v>2412</v>
      </c>
      <c r="F44" t="s">
        <v>2263</v>
      </c>
      <c r="G44" t="s">
        <v>22</v>
      </c>
      <c r="H44" t="s">
        <v>22</v>
      </c>
      <c r="I44" t="s">
        <v>809</v>
      </c>
    </row>
    <row r="45" spans="1:9" ht="11.25" customHeight="1">
      <c r="A45" t="s">
        <v>2248</v>
      </c>
      <c r="B45" t="s">
        <v>16</v>
      </c>
      <c r="C45" t="s">
        <v>2413</v>
      </c>
      <c r="D45" t="s">
        <v>2411</v>
      </c>
      <c r="E45" t="s">
        <v>2414</v>
      </c>
      <c r="F45" t="s">
        <v>2263</v>
      </c>
      <c r="G45" t="s">
        <v>22</v>
      </c>
      <c r="H45" t="s">
        <v>22</v>
      </c>
      <c r="I45" t="s">
        <v>809</v>
      </c>
    </row>
    <row r="46" spans="1:9" ht="11.25" customHeight="1">
      <c r="A46" t="s">
        <v>2248</v>
      </c>
      <c r="B46" t="s">
        <v>16</v>
      </c>
      <c r="C46" t="s">
        <v>2415</v>
      </c>
      <c r="D46" t="s">
        <v>2416</v>
      </c>
      <c r="E46" t="s">
        <v>2417</v>
      </c>
      <c r="F46" t="s">
        <v>2418</v>
      </c>
      <c r="G46" t="s">
        <v>22</v>
      </c>
      <c r="H46" t="s">
        <v>22</v>
      </c>
      <c r="I46" t="s">
        <v>809</v>
      </c>
    </row>
    <row r="47" spans="1:9" ht="11.25" customHeight="1">
      <c r="A47" t="s">
        <v>2248</v>
      </c>
      <c r="B47" t="s">
        <v>16</v>
      </c>
      <c r="C47" t="s">
        <v>2419</v>
      </c>
      <c r="D47" t="s">
        <v>2420</v>
      </c>
      <c r="E47" t="s">
        <v>2421</v>
      </c>
      <c r="F47" t="s">
        <v>2258</v>
      </c>
      <c r="G47" t="s">
        <v>22</v>
      </c>
      <c r="H47" t="s">
        <v>22</v>
      </c>
      <c r="I47" t="s">
        <v>809</v>
      </c>
    </row>
    <row r="48" spans="1:9" ht="11.25" customHeight="1">
      <c r="A48" t="s">
        <v>2248</v>
      </c>
      <c r="B48" t="s">
        <v>16</v>
      </c>
      <c r="C48" t="s">
        <v>2422</v>
      </c>
      <c r="D48" t="s">
        <v>2423</v>
      </c>
      <c r="E48" t="s">
        <v>2424</v>
      </c>
      <c r="F48" t="s">
        <v>2258</v>
      </c>
      <c r="G48" t="s">
        <v>22</v>
      </c>
      <c r="H48" t="s">
        <v>22</v>
      </c>
      <c r="I48" t="s">
        <v>809</v>
      </c>
    </row>
    <row r="49" spans="1:9" ht="11.25" customHeight="1">
      <c r="A49" t="s">
        <v>2248</v>
      </c>
      <c r="B49" t="s">
        <v>16</v>
      </c>
      <c r="C49" t="s">
        <v>2425</v>
      </c>
      <c r="D49" t="s">
        <v>2426</v>
      </c>
      <c r="E49" t="s">
        <v>2427</v>
      </c>
      <c r="F49" t="s">
        <v>2347</v>
      </c>
      <c r="G49" t="s">
        <v>22</v>
      </c>
      <c r="H49" t="s">
        <v>22</v>
      </c>
      <c r="I49" t="s">
        <v>809</v>
      </c>
    </row>
    <row r="50" spans="1:9" ht="11.25" customHeight="1">
      <c r="A50" t="s">
        <v>2248</v>
      </c>
      <c r="B50" t="s">
        <v>16</v>
      </c>
      <c r="C50" t="s">
        <v>2428</v>
      </c>
      <c r="D50" t="s">
        <v>2429</v>
      </c>
      <c r="E50" t="s">
        <v>2430</v>
      </c>
      <c r="F50" t="s">
        <v>2258</v>
      </c>
      <c r="G50" t="s">
        <v>22</v>
      </c>
      <c r="H50" t="s">
        <v>22</v>
      </c>
      <c r="I50" t="s">
        <v>809</v>
      </c>
    </row>
    <row r="51" spans="1:9" ht="11.25" customHeight="1">
      <c r="A51" t="s">
        <v>2248</v>
      </c>
      <c r="B51" t="s">
        <v>16</v>
      </c>
      <c r="C51" t="s">
        <v>22</v>
      </c>
      <c r="D51" t="s">
        <v>2431</v>
      </c>
      <c r="E51" t="s">
        <v>2432</v>
      </c>
      <c r="F51" t="s">
        <v>2433</v>
      </c>
      <c r="G51" t="s">
        <v>22</v>
      </c>
      <c r="H51" t="s">
        <v>22</v>
      </c>
      <c r="I51" t="s">
        <v>809</v>
      </c>
    </row>
    <row r="52" spans="1:9" ht="11.25" customHeight="1">
      <c r="A52" t="s">
        <v>2248</v>
      </c>
      <c r="B52" t="s">
        <v>16</v>
      </c>
      <c r="C52" t="s">
        <v>2434</v>
      </c>
      <c r="D52" t="s">
        <v>2435</v>
      </c>
      <c r="E52" t="s">
        <v>2436</v>
      </c>
      <c r="F52" t="s">
        <v>2437</v>
      </c>
      <c r="G52" t="s">
        <v>22</v>
      </c>
      <c r="H52" t="s">
        <v>22</v>
      </c>
      <c r="I52" t="s">
        <v>809</v>
      </c>
    </row>
    <row r="53" spans="1:9" ht="11.25" customHeight="1">
      <c r="A53" t="s">
        <v>2248</v>
      </c>
      <c r="B53" t="s">
        <v>16</v>
      </c>
      <c r="C53" t="s">
        <v>2438</v>
      </c>
      <c r="D53" t="s">
        <v>2439</v>
      </c>
      <c r="E53" t="s">
        <v>2440</v>
      </c>
      <c r="F53" t="s">
        <v>2282</v>
      </c>
      <c r="G53" t="s">
        <v>22</v>
      </c>
      <c r="H53" t="s">
        <v>22</v>
      </c>
      <c r="I53" t="s">
        <v>809</v>
      </c>
    </row>
    <row r="54" spans="1:9" ht="11.25" customHeight="1">
      <c r="A54" t="s">
        <v>2248</v>
      </c>
      <c r="B54" t="s">
        <v>16</v>
      </c>
      <c r="C54" t="s">
        <v>2441</v>
      </c>
      <c r="D54" t="s">
        <v>2442</v>
      </c>
      <c r="E54" t="s">
        <v>2443</v>
      </c>
      <c r="F54" t="s">
        <v>2263</v>
      </c>
      <c r="G54" t="s">
        <v>22</v>
      </c>
      <c r="H54" t="s">
        <v>22</v>
      </c>
      <c r="I54" t="s">
        <v>809</v>
      </c>
    </row>
    <row r="55" spans="1:9" ht="11.25" customHeight="1">
      <c r="A55" t="s">
        <v>2248</v>
      </c>
      <c r="B55" t="s">
        <v>16</v>
      </c>
      <c r="C55" t="s">
        <v>2444</v>
      </c>
      <c r="D55" t="s">
        <v>2445</v>
      </c>
      <c r="E55" t="s">
        <v>2446</v>
      </c>
      <c r="F55" t="s">
        <v>2258</v>
      </c>
      <c r="G55" t="s">
        <v>22</v>
      </c>
      <c r="H55" t="s">
        <v>22</v>
      </c>
      <c r="I55" t="s">
        <v>809</v>
      </c>
    </row>
    <row r="56" spans="1:9" ht="11.25" customHeight="1">
      <c r="A56" t="s">
        <v>2248</v>
      </c>
      <c r="B56" t="s">
        <v>16</v>
      </c>
      <c r="C56" t="s">
        <v>2447</v>
      </c>
      <c r="D56" t="s">
        <v>2448</v>
      </c>
      <c r="E56" t="s">
        <v>2449</v>
      </c>
      <c r="F56" t="s">
        <v>2254</v>
      </c>
      <c r="G56" t="s">
        <v>2450</v>
      </c>
      <c r="H56" t="s">
        <v>2451</v>
      </c>
      <c r="I56" t="s">
        <v>809</v>
      </c>
    </row>
    <row r="57" spans="1:9" ht="11.25" customHeight="1">
      <c r="A57" t="s">
        <v>2248</v>
      </c>
      <c r="B57" t="s">
        <v>16</v>
      </c>
      <c r="C57" t="s">
        <v>2452</v>
      </c>
      <c r="D57" t="s">
        <v>2453</v>
      </c>
      <c r="E57" t="s">
        <v>2454</v>
      </c>
      <c r="F57" t="s">
        <v>2455</v>
      </c>
      <c r="G57" t="s">
        <v>2456</v>
      </c>
      <c r="H57" t="s">
        <v>22</v>
      </c>
      <c r="I57" t="s">
        <v>809</v>
      </c>
    </row>
    <row r="58" spans="1:9" ht="11.25" customHeight="1">
      <c r="A58" t="s">
        <v>2248</v>
      </c>
      <c r="B58" t="s">
        <v>16</v>
      </c>
      <c r="C58" t="s">
        <v>2457</v>
      </c>
      <c r="D58" t="s">
        <v>2458</v>
      </c>
      <c r="E58" t="s">
        <v>2459</v>
      </c>
      <c r="F58" t="s">
        <v>2343</v>
      </c>
      <c r="G58" t="s">
        <v>22</v>
      </c>
      <c r="H58" t="s">
        <v>22</v>
      </c>
      <c r="I58" t="s">
        <v>809</v>
      </c>
    </row>
    <row r="59" spans="1:9" ht="11.25" customHeight="1">
      <c r="A59" t="s">
        <v>2248</v>
      </c>
      <c r="B59" t="s">
        <v>16</v>
      </c>
      <c r="C59" t="s">
        <v>2460</v>
      </c>
      <c r="D59" t="s">
        <v>2461</v>
      </c>
      <c r="E59" t="s">
        <v>2462</v>
      </c>
      <c r="F59" t="s">
        <v>51</v>
      </c>
      <c r="G59" t="s">
        <v>22</v>
      </c>
      <c r="H59" t="s">
        <v>22</v>
      </c>
      <c r="I59" t="s">
        <v>809</v>
      </c>
    </row>
    <row r="60" spans="1:9" ht="11.25" customHeight="1">
      <c r="A60" t="s">
        <v>2248</v>
      </c>
      <c r="B60" t="s">
        <v>16</v>
      </c>
      <c r="C60" t="s">
        <v>2463</v>
      </c>
      <c r="D60" t="s">
        <v>2464</v>
      </c>
      <c r="E60" t="s">
        <v>2465</v>
      </c>
      <c r="F60" t="s">
        <v>2466</v>
      </c>
      <c r="G60" t="s">
        <v>2467</v>
      </c>
      <c r="H60" t="s">
        <v>22</v>
      </c>
      <c r="I60" t="s">
        <v>809</v>
      </c>
    </row>
    <row r="61" spans="1:9" ht="11.25" customHeight="1">
      <c r="A61" t="s">
        <v>2248</v>
      </c>
      <c r="B61" t="s">
        <v>16</v>
      </c>
      <c r="C61" t="s">
        <v>2468</v>
      </c>
      <c r="D61" t="s">
        <v>2469</v>
      </c>
      <c r="E61" t="s">
        <v>2470</v>
      </c>
      <c r="F61" t="s">
        <v>576</v>
      </c>
      <c r="G61" t="s">
        <v>2471</v>
      </c>
      <c r="H61" t="s">
        <v>22</v>
      </c>
      <c r="I61" t="s">
        <v>809</v>
      </c>
    </row>
    <row r="62" spans="1:9" ht="11.25" customHeight="1">
      <c r="A62" t="s">
        <v>2248</v>
      </c>
      <c r="B62" t="s">
        <v>16</v>
      </c>
      <c r="C62" t="s">
        <v>2472</v>
      </c>
      <c r="D62" t="s">
        <v>2473</v>
      </c>
      <c r="E62" t="s">
        <v>2474</v>
      </c>
      <c r="F62" t="s">
        <v>576</v>
      </c>
      <c r="G62" t="s">
        <v>2475</v>
      </c>
      <c r="H62" t="s">
        <v>22</v>
      </c>
      <c r="I62" t="s">
        <v>809</v>
      </c>
    </row>
    <row r="63" spans="1:9" ht="11.25" customHeight="1">
      <c r="A63" t="s">
        <v>2248</v>
      </c>
      <c r="B63" t="s">
        <v>16</v>
      </c>
      <c r="C63" t="s">
        <v>2476</v>
      </c>
      <c r="D63" t="s">
        <v>2477</v>
      </c>
      <c r="E63" t="s">
        <v>2478</v>
      </c>
      <c r="F63" t="s">
        <v>2263</v>
      </c>
      <c r="G63" t="s">
        <v>22</v>
      </c>
      <c r="H63" t="s">
        <v>22</v>
      </c>
      <c r="I63" t="s">
        <v>809</v>
      </c>
    </row>
    <row r="64" spans="1:9" ht="11.25" customHeight="1">
      <c r="A64" t="s">
        <v>2248</v>
      </c>
      <c r="B64" t="s">
        <v>16</v>
      </c>
      <c r="C64" t="s">
        <v>2479</v>
      </c>
      <c r="D64" t="s">
        <v>2480</v>
      </c>
      <c r="E64" t="s">
        <v>2481</v>
      </c>
      <c r="F64" t="s">
        <v>2482</v>
      </c>
      <c r="G64" t="s">
        <v>22</v>
      </c>
      <c r="H64" t="s">
        <v>22</v>
      </c>
      <c r="I64" t="s">
        <v>809</v>
      </c>
    </row>
    <row r="65" spans="1:9" ht="11.25" customHeight="1">
      <c r="A65" t="s">
        <v>2248</v>
      </c>
      <c r="B65" t="s">
        <v>16</v>
      </c>
      <c r="C65" t="s">
        <v>2483</v>
      </c>
      <c r="D65" t="s">
        <v>2484</v>
      </c>
      <c r="E65" t="s">
        <v>2485</v>
      </c>
      <c r="F65" t="s">
        <v>2486</v>
      </c>
      <c r="G65" t="s">
        <v>22</v>
      </c>
      <c r="H65" t="s">
        <v>22</v>
      </c>
      <c r="I65" t="s">
        <v>809</v>
      </c>
    </row>
    <row r="66" spans="1:9" ht="11.25" customHeight="1">
      <c r="A66" t="s">
        <v>2248</v>
      </c>
      <c r="B66" t="s">
        <v>16</v>
      </c>
      <c r="C66" t="s">
        <v>2487</v>
      </c>
      <c r="D66" t="s">
        <v>2488</v>
      </c>
      <c r="E66" t="s">
        <v>2489</v>
      </c>
      <c r="F66" t="s">
        <v>2490</v>
      </c>
      <c r="G66" t="s">
        <v>22</v>
      </c>
      <c r="H66" t="s">
        <v>22</v>
      </c>
      <c r="I66" t="s">
        <v>809</v>
      </c>
    </row>
    <row r="67" spans="1:9" ht="11.25" customHeight="1">
      <c r="A67" t="s">
        <v>2248</v>
      </c>
      <c r="B67" t="s">
        <v>16</v>
      </c>
      <c r="C67" t="s">
        <v>2491</v>
      </c>
      <c r="D67" t="s">
        <v>2492</v>
      </c>
      <c r="E67" t="s">
        <v>2493</v>
      </c>
      <c r="F67" t="s">
        <v>2494</v>
      </c>
      <c r="G67" t="s">
        <v>22</v>
      </c>
      <c r="H67" t="s">
        <v>22</v>
      </c>
      <c r="I67" t="s">
        <v>809</v>
      </c>
    </row>
    <row r="68" spans="1:9" ht="11.25" customHeight="1">
      <c r="A68" t="s">
        <v>2248</v>
      </c>
      <c r="B68" t="s">
        <v>16</v>
      </c>
      <c r="C68" t="s">
        <v>2495</v>
      </c>
      <c r="D68" t="s">
        <v>2496</v>
      </c>
      <c r="E68" t="s">
        <v>2497</v>
      </c>
      <c r="F68" t="s">
        <v>2498</v>
      </c>
      <c r="G68" t="s">
        <v>22</v>
      </c>
      <c r="H68" t="s">
        <v>22</v>
      </c>
      <c r="I68" t="s">
        <v>809</v>
      </c>
    </row>
    <row r="69" spans="1:9" ht="11.25" customHeight="1">
      <c r="A69" t="s">
        <v>2248</v>
      </c>
      <c r="B69" t="s">
        <v>16</v>
      </c>
      <c r="C69" t="s">
        <v>2499</v>
      </c>
      <c r="D69" t="s">
        <v>2500</v>
      </c>
      <c r="E69" t="s">
        <v>2501</v>
      </c>
      <c r="F69" t="s">
        <v>2502</v>
      </c>
      <c r="G69" t="s">
        <v>22</v>
      </c>
      <c r="H69" t="s">
        <v>22</v>
      </c>
      <c r="I69" t="s">
        <v>809</v>
      </c>
    </row>
    <row r="70" spans="1:9" ht="11.25" customHeight="1">
      <c r="A70" t="s">
        <v>2248</v>
      </c>
      <c r="B70" t="s">
        <v>16</v>
      </c>
      <c r="C70" t="s">
        <v>2503</v>
      </c>
      <c r="D70" t="s">
        <v>2504</v>
      </c>
      <c r="E70" t="s">
        <v>2505</v>
      </c>
      <c r="F70" t="s">
        <v>2506</v>
      </c>
      <c r="G70" t="s">
        <v>2507</v>
      </c>
      <c r="H70" t="s">
        <v>22</v>
      </c>
      <c r="I70" t="s">
        <v>809</v>
      </c>
    </row>
    <row r="71" spans="1:9" ht="11.25" customHeight="1">
      <c r="A71" t="s">
        <v>2248</v>
      </c>
      <c r="B71" t="s">
        <v>16</v>
      </c>
      <c r="C71" t="s">
        <v>2508</v>
      </c>
      <c r="D71" t="s">
        <v>2509</v>
      </c>
      <c r="E71" t="s">
        <v>2510</v>
      </c>
      <c r="F71" t="s">
        <v>2511</v>
      </c>
      <c r="G71" t="s">
        <v>22</v>
      </c>
      <c r="H71" t="s">
        <v>22</v>
      </c>
      <c r="I71" t="s">
        <v>809</v>
      </c>
    </row>
    <row r="72" spans="1:9" ht="11.25" customHeight="1">
      <c r="A72" t="s">
        <v>2248</v>
      </c>
      <c r="B72" t="s">
        <v>16</v>
      </c>
      <c r="C72" t="s">
        <v>2512</v>
      </c>
      <c r="D72" t="s">
        <v>2513</v>
      </c>
      <c r="E72" t="s">
        <v>2514</v>
      </c>
      <c r="F72" t="s">
        <v>2363</v>
      </c>
      <c r="G72" t="s">
        <v>2515</v>
      </c>
      <c r="H72" t="s">
        <v>22</v>
      </c>
      <c r="I72" t="s">
        <v>809</v>
      </c>
    </row>
    <row r="73" spans="1:9" ht="11.25" customHeight="1">
      <c r="A73" t="s">
        <v>2248</v>
      </c>
      <c r="B73" t="s">
        <v>16</v>
      </c>
      <c r="C73" t="s">
        <v>2516</v>
      </c>
      <c r="D73" t="s">
        <v>2517</v>
      </c>
      <c r="E73" t="s">
        <v>2518</v>
      </c>
      <c r="F73" t="s">
        <v>2418</v>
      </c>
      <c r="G73" t="s">
        <v>22</v>
      </c>
      <c r="H73" t="s">
        <v>22</v>
      </c>
      <c r="I73" t="s">
        <v>809</v>
      </c>
    </row>
    <row r="74" spans="1:9" ht="11.25" customHeight="1">
      <c r="A74" t="s">
        <v>2248</v>
      </c>
      <c r="B74" t="s">
        <v>16</v>
      </c>
      <c r="C74" t="s">
        <v>2519</v>
      </c>
      <c r="D74" t="s">
        <v>2520</v>
      </c>
      <c r="E74" t="s">
        <v>2521</v>
      </c>
      <c r="F74" t="s">
        <v>2363</v>
      </c>
      <c r="G74" t="s">
        <v>2522</v>
      </c>
      <c r="H74" t="s">
        <v>22</v>
      </c>
      <c r="I74" t="s">
        <v>809</v>
      </c>
    </row>
    <row r="75" spans="1:9" ht="11.25" customHeight="1">
      <c r="A75" t="s">
        <v>2248</v>
      </c>
      <c r="B75" t="s">
        <v>16</v>
      </c>
      <c r="C75" t="s">
        <v>2523</v>
      </c>
      <c r="D75" t="s">
        <v>2524</v>
      </c>
      <c r="E75" t="s">
        <v>2525</v>
      </c>
      <c r="F75" t="s">
        <v>2254</v>
      </c>
      <c r="G75" t="s">
        <v>22</v>
      </c>
      <c r="H75" t="s">
        <v>22</v>
      </c>
      <c r="I75" t="s">
        <v>809</v>
      </c>
    </row>
    <row r="76" spans="1:9" ht="11.25" customHeight="1">
      <c r="A76" t="s">
        <v>2248</v>
      </c>
      <c r="B76" t="s">
        <v>16</v>
      </c>
      <c r="C76" t="s">
        <v>2526</v>
      </c>
      <c r="D76" t="s">
        <v>2527</v>
      </c>
      <c r="E76" t="s">
        <v>2528</v>
      </c>
      <c r="F76" t="s">
        <v>2290</v>
      </c>
      <c r="G76" t="s">
        <v>22</v>
      </c>
      <c r="H76" t="s">
        <v>22</v>
      </c>
      <c r="I76" t="s">
        <v>809</v>
      </c>
    </row>
    <row r="77" spans="1:9" ht="11.25" customHeight="1">
      <c r="A77" t="s">
        <v>2248</v>
      </c>
      <c r="B77" t="s">
        <v>16</v>
      </c>
      <c r="C77" t="s">
        <v>2529</v>
      </c>
      <c r="D77" t="s">
        <v>2530</v>
      </c>
      <c r="E77" t="s">
        <v>2531</v>
      </c>
      <c r="F77" t="s">
        <v>2437</v>
      </c>
      <c r="G77" t="s">
        <v>22</v>
      </c>
      <c r="H77" t="s">
        <v>22</v>
      </c>
      <c r="I77" t="s">
        <v>809</v>
      </c>
    </row>
    <row r="78" spans="1:9" ht="11.25" customHeight="1">
      <c r="A78" t="s">
        <v>2248</v>
      </c>
      <c r="B78" t="s">
        <v>16</v>
      </c>
      <c r="C78" t="s">
        <v>2532</v>
      </c>
      <c r="D78" t="s">
        <v>2533</v>
      </c>
      <c r="E78" t="s">
        <v>2534</v>
      </c>
      <c r="F78" t="s">
        <v>2363</v>
      </c>
      <c r="G78" t="s">
        <v>22</v>
      </c>
      <c r="H78" t="s">
        <v>22</v>
      </c>
      <c r="I78" t="s">
        <v>809</v>
      </c>
    </row>
    <row r="79" spans="1:9" ht="11.25" customHeight="1">
      <c r="A79" t="s">
        <v>2248</v>
      </c>
      <c r="B79" t="s">
        <v>16</v>
      </c>
      <c r="C79" t="s">
        <v>2535</v>
      </c>
      <c r="D79" t="s">
        <v>2536</v>
      </c>
      <c r="E79" t="s">
        <v>2537</v>
      </c>
      <c r="F79" t="s">
        <v>2538</v>
      </c>
      <c r="G79" t="s">
        <v>22</v>
      </c>
      <c r="H79" t="s">
        <v>22</v>
      </c>
      <c r="I79" t="s">
        <v>809</v>
      </c>
    </row>
    <row r="80" spans="1:9" ht="11.25" customHeight="1">
      <c r="A80" t="s">
        <v>2248</v>
      </c>
      <c r="B80" t="s">
        <v>16</v>
      </c>
      <c r="C80" t="s">
        <v>2539</v>
      </c>
      <c r="D80" t="s">
        <v>2540</v>
      </c>
      <c r="E80" t="s">
        <v>2541</v>
      </c>
      <c r="F80" t="s">
        <v>2335</v>
      </c>
      <c r="G80" t="s">
        <v>22</v>
      </c>
      <c r="H80" t="s">
        <v>22</v>
      </c>
      <c r="I80" t="s">
        <v>809</v>
      </c>
    </row>
    <row r="81" spans="1:9" ht="11.25" customHeight="1">
      <c r="A81" t="s">
        <v>2248</v>
      </c>
      <c r="B81" t="s">
        <v>16</v>
      </c>
      <c r="C81" t="s">
        <v>2542</v>
      </c>
      <c r="D81" t="s">
        <v>2543</v>
      </c>
      <c r="E81" t="s">
        <v>2493</v>
      </c>
      <c r="F81" t="s">
        <v>2544</v>
      </c>
      <c r="G81" t="s">
        <v>2545</v>
      </c>
      <c r="H81" t="s">
        <v>22</v>
      </c>
      <c r="I81" t="s">
        <v>809</v>
      </c>
    </row>
    <row r="82" spans="1:9" ht="11.25" customHeight="1">
      <c r="A82" t="s">
        <v>2248</v>
      </c>
      <c r="B82" t="s">
        <v>16</v>
      </c>
      <c r="C82" t="s">
        <v>2546</v>
      </c>
      <c r="D82" t="s">
        <v>2547</v>
      </c>
      <c r="E82" t="s">
        <v>2548</v>
      </c>
      <c r="F82" t="s">
        <v>2254</v>
      </c>
      <c r="G82" t="s">
        <v>22</v>
      </c>
      <c r="H82" t="s">
        <v>22</v>
      </c>
      <c r="I82" t="s">
        <v>809</v>
      </c>
    </row>
    <row r="83" spans="1:9" ht="11.25" customHeight="1">
      <c r="A83" t="s">
        <v>2248</v>
      </c>
      <c r="B83" t="s">
        <v>16</v>
      </c>
      <c r="C83" t="s">
        <v>2549</v>
      </c>
      <c r="D83" t="s">
        <v>2550</v>
      </c>
      <c r="E83" t="s">
        <v>2551</v>
      </c>
      <c r="F83" t="s">
        <v>2552</v>
      </c>
      <c r="G83" t="s">
        <v>2553</v>
      </c>
      <c r="H83" t="s">
        <v>22</v>
      </c>
      <c r="I83" t="s">
        <v>809</v>
      </c>
    </row>
    <row r="84" spans="1:9" ht="11.25" customHeight="1">
      <c r="A84" t="s">
        <v>2248</v>
      </c>
      <c r="B84" t="s">
        <v>16</v>
      </c>
      <c r="C84" t="s">
        <v>2554</v>
      </c>
      <c r="D84" t="s">
        <v>2555</v>
      </c>
      <c r="E84" t="s">
        <v>2556</v>
      </c>
      <c r="F84" t="s">
        <v>2557</v>
      </c>
      <c r="G84" t="s">
        <v>2558</v>
      </c>
      <c r="H84" t="s">
        <v>22</v>
      </c>
      <c r="I84" t="s">
        <v>809</v>
      </c>
    </row>
    <row r="85" spans="1:9" ht="11.25" customHeight="1">
      <c r="A85" t="s">
        <v>2248</v>
      </c>
      <c r="B85" t="s">
        <v>16</v>
      </c>
      <c r="C85" t="s">
        <v>2559</v>
      </c>
      <c r="D85" t="s">
        <v>2560</v>
      </c>
      <c r="E85" t="s">
        <v>2561</v>
      </c>
      <c r="F85" t="s">
        <v>2290</v>
      </c>
      <c r="G85" t="s">
        <v>22</v>
      </c>
      <c r="H85" t="s">
        <v>22</v>
      </c>
      <c r="I85" t="s">
        <v>809</v>
      </c>
    </row>
    <row r="86" spans="1:9" ht="11.25" customHeight="1">
      <c r="A86" t="s">
        <v>2248</v>
      </c>
      <c r="B86" t="s">
        <v>16</v>
      </c>
      <c r="C86" t="s">
        <v>2562</v>
      </c>
      <c r="D86" t="s">
        <v>2563</v>
      </c>
      <c r="E86" t="s">
        <v>2564</v>
      </c>
      <c r="F86" t="s">
        <v>2565</v>
      </c>
      <c r="G86" t="s">
        <v>22</v>
      </c>
      <c r="H86" t="s">
        <v>22</v>
      </c>
      <c r="I86" t="s">
        <v>809</v>
      </c>
    </row>
    <row r="87" spans="1:9" ht="11.25" customHeight="1">
      <c r="A87" t="s">
        <v>2248</v>
      </c>
      <c r="B87" t="s">
        <v>16</v>
      </c>
      <c r="C87" t="s">
        <v>2566</v>
      </c>
      <c r="D87" t="s">
        <v>2567</v>
      </c>
      <c r="E87" t="s">
        <v>2568</v>
      </c>
      <c r="F87" t="s">
        <v>2363</v>
      </c>
      <c r="G87" t="s">
        <v>22</v>
      </c>
      <c r="H87" t="s">
        <v>22</v>
      </c>
      <c r="I87" t="s">
        <v>809</v>
      </c>
    </row>
    <row r="88" spans="1:9" ht="11.25" customHeight="1">
      <c r="A88" t="s">
        <v>2248</v>
      </c>
      <c r="B88" t="s">
        <v>16</v>
      </c>
      <c r="C88" t="s">
        <v>2569</v>
      </c>
      <c r="D88" t="s">
        <v>2570</v>
      </c>
      <c r="E88" t="s">
        <v>2571</v>
      </c>
      <c r="F88" t="s">
        <v>2258</v>
      </c>
      <c r="G88" t="s">
        <v>2572</v>
      </c>
      <c r="H88" t="s">
        <v>22</v>
      </c>
      <c r="I88" t="s">
        <v>809</v>
      </c>
    </row>
    <row r="89" spans="1:9" ht="11.25" customHeight="1">
      <c r="A89" t="s">
        <v>2248</v>
      </c>
      <c r="B89" t="s">
        <v>16</v>
      </c>
      <c r="C89" t="s">
        <v>2573</v>
      </c>
      <c r="D89" t="s">
        <v>2574</v>
      </c>
      <c r="E89" t="s">
        <v>2575</v>
      </c>
      <c r="F89" t="s">
        <v>2335</v>
      </c>
      <c r="G89" t="s">
        <v>2576</v>
      </c>
      <c r="H89" t="s">
        <v>22</v>
      </c>
      <c r="I89" t="s">
        <v>809</v>
      </c>
    </row>
    <row r="90" spans="1:9" ht="11.25" customHeight="1">
      <c r="A90" t="s">
        <v>2248</v>
      </c>
      <c r="B90" t="s">
        <v>16</v>
      </c>
      <c r="C90" t="s">
        <v>2577</v>
      </c>
      <c r="D90" t="s">
        <v>2574</v>
      </c>
      <c r="E90" t="s">
        <v>2575</v>
      </c>
      <c r="F90" t="s">
        <v>2258</v>
      </c>
      <c r="G90" t="s">
        <v>2578</v>
      </c>
      <c r="H90" t="s">
        <v>22</v>
      </c>
      <c r="I90" t="s">
        <v>809</v>
      </c>
    </row>
    <row r="91" spans="1:9" ht="11.25" customHeight="1">
      <c r="A91" t="s">
        <v>2248</v>
      </c>
      <c r="B91" t="s">
        <v>16</v>
      </c>
      <c r="C91" t="s">
        <v>2579</v>
      </c>
      <c r="D91" t="s">
        <v>2580</v>
      </c>
      <c r="E91" t="s">
        <v>2581</v>
      </c>
      <c r="F91" t="s">
        <v>2356</v>
      </c>
      <c r="G91" t="s">
        <v>22</v>
      </c>
      <c r="H91" t="s">
        <v>22</v>
      </c>
      <c r="I91" t="s">
        <v>809</v>
      </c>
    </row>
    <row r="92" spans="1:9" ht="11.25" customHeight="1">
      <c r="A92" t="s">
        <v>2248</v>
      </c>
      <c r="B92" t="s">
        <v>16</v>
      </c>
      <c r="C92" t="s">
        <v>2582</v>
      </c>
      <c r="D92" t="s">
        <v>2583</v>
      </c>
      <c r="E92" t="s">
        <v>2584</v>
      </c>
      <c r="F92" t="s">
        <v>2585</v>
      </c>
      <c r="G92" t="s">
        <v>22</v>
      </c>
      <c r="H92" t="s">
        <v>22</v>
      </c>
      <c r="I92" t="s">
        <v>809</v>
      </c>
    </row>
    <row r="93" spans="1:9" ht="11.25" customHeight="1">
      <c r="A93" t="s">
        <v>2248</v>
      </c>
      <c r="B93" t="s">
        <v>16</v>
      </c>
      <c r="C93" t="s">
        <v>2586</v>
      </c>
      <c r="D93" t="s">
        <v>2587</v>
      </c>
      <c r="E93" t="s">
        <v>2588</v>
      </c>
      <c r="F93" t="s">
        <v>2585</v>
      </c>
      <c r="G93" t="s">
        <v>2589</v>
      </c>
      <c r="H93" t="s">
        <v>22</v>
      </c>
      <c r="I93" t="s">
        <v>809</v>
      </c>
    </row>
    <row r="94" spans="1:9" ht="11.25" customHeight="1">
      <c r="A94" t="s">
        <v>2248</v>
      </c>
      <c r="B94" t="s">
        <v>16</v>
      </c>
      <c r="C94" t="s">
        <v>2590</v>
      </c>
      <c r="D94" t="s">
        <v>2591</v>
      </c>
      <c r="E94" t="s">
        <v>2592</v>
      </c>
      <c r="F94" t="s">
        <v>2258</v>
      </c>
      <c r="G94" t="s">
        <v>22</v>
      </c>
      <c r="H94" t="s">
        <v>22</v>
      </c>
      <c r="I94" t="s">
        <v>809</v>
      </c>
    </row>
    <row r="95" spans="1:9" ht="11.25" customHeight="1">
      <c r="A95" t="s">
        <v>2248</v>
      </c>
      <c r="B95" t="s">
        <v>16</v>
      </c>
      <c r="C95" t="s">
        <v>2593</v>
      </c>
      <c r="D95" t="s">
        <v>2594</v>
      </c>
      <c r="E95" t="s">
        <v>2595</v>
      </c>
      <c r="F95" t="s">
        <v>2596</v>
      </c>
      <c r="G95" t="s">
        <v>22</v>
      </c>
      <c r="H95" t="s">
        <v>22</v>
      </c>
      <c r="I95" t="s">
        <v>809</v>
      </c>
    </row>
    <row r="96" spans="1:9" ht="11.25" customHeight="1">
      <c r="A96" t="s">
        <v>2248</v>
      </c>
      <c r="B96" t="s">
        <v>16</v>
      </c>
      <c r="C96" t="s">
        <v>2597</v>
      </c>
      <c r="D96" t="s">
        <v>2598</v>
      </c>
      <c r="E96" t="s">
        <v>2599</v>
      </c>
      <c r="F96" t="s">
        <v>2290</v>
      </c>
      <c r="G96" t="s">
        <v>22</v>
      </c>
      <c r="H96" t="s">
        <v>22</v>
      </c>
      <c r="I96" t="s">
        <v>809</v>
      </c>
    </row>
    <row r="97" spans="1:9" ht="11.25" customHeight="1">
      <c r="A97" t="s">
        <v>2248</v>
      </c>
      <c r="B97" t="s">
        <v>16</v>
      </c>
      <c r="C97" t="s">
        <v>2600</v>
      </c>
      <c r="D97" t="s">
        <v>2601</v>
      </c>
      <c r="E97" t="s">
        <v>2602</v>
      </c>
      <c r="F97" t="s">
        <v>2258</v>
      </c>
      <c r="G97" t="s">
        <v>2603</v>
      </c>
      <c r="H97" t="s">
        <v>22</v>
      </c>
      <c r="I97" t="s">
        <v>809</v>
      </c>
    </row>
    <row r="98" spans="1:9" ht="11.25" customHeight="1">
      <c r="A98" t="s">
        <v>2248</v>
      </c>
      <c r="B98" t="s">
        <v>16</v>
      </c>
      <c r="C98" t="s">
        <v>2604</v>
      </c>
      <c r="D98" t="s">
        <v>2605</v>
      </c>
      <c r="E98" t="s">
        <v>2606</v>
      </c>
      <c r="F98" t="s">
        <v>2268</v>
      </c>
      <c r="G98" t="s">
        <v>22</v>
      </c>
      <c r="H98" t="s">
        <v>22</v>
      </c>
      <c r="I98" t="s">
        <v>809</v>
      </c>
    </row>
    <row r="99" spans="1:9" ht="11.25" customHeight="1">
      <c r="A99" t="s">
        <v>2248</v>
      </c>
      <c r="B99" t="s">
        <v>16</v>
      </c>
      <c r="C99" t="s">
        <v>2607</v>
      </c>
      <c r="D99" t="s">
        <v>2608</v>
      </c>
      <c r="E99" t="s">
        <v>2609</v>
      </c>
      <c r="F99" t="s">
        <v>2511</v>
      </c>
      <c r="G99" t="s">
        <v>22</v>
      </c>
      <c r="H99" t="s">
        <v>22</v>
      </c>
      <c r="I99" t="s">
        <v>809</v>
      </c>
    </row>
    <row r="100" spans="1:9" ht="11.25" customHeight="1">
      <c r="A100" t="s">
        <v>2248</v>
      </c>
      <c r="B100" t="s">
        <v>16</v>
      </c>
      <c r="C100" t="s">
        <v>2610</v>
      </c>
      <c r="D100" t="s">
        <v>2611</v>
      </c>
      <c r="E100" t="s">
        <v>2612</v>
      </c>
      <c r="F100" t="s">
        <v>2433</v>
      </c>
      <c r="G100" t="s">
        <v>22</v>
      </c>
      <c r="H100" t="s">
        <v>22</v>
      </c>
      <c r="I100" t="s">
        <v>809</v>
      </c>
    </row>
    <row r="101" spans="1:9" ht="11.25" customHeight="1">
      <c r="A101" t="s">
        <v>2248</v>
      </c>
      <c r="B101" t="s">
        <v>16</v>
      </c>
      <c r="C101" t="s">
        <v>2613</v>
      </c>
      <c r="D101" t="s">
        <v>2614</v>
      </c>
      <c r="E101" t="s">
        <v>2615</v>
      </c>
      <c r="F101" t="s">
        <v>2258</v>
      </c>
      <c r="G101" t="s">
        <v>22</v>
      </c>
      <c r="H101" t="s">
        <v>22</v>
      </c>
      <c r="I101" t="s">
        <v>809</v>
      </c>
    </row>
    <row r="102" spans="1:9" ht="11.25" customHeight="1">
      <c r="A102" t="s">
        <v>2248</v>
      </c>
      <c r="B102" t="s">
        <v>16</v>
      </c>
      <c r="C102" t="s">
        <v>2616</v>
      </c>
      <c r="D102" t="s">
        <v>2617</v>
      </c>
      <c r="E102" t="s">
        <v>2618</v>
      </c>
      <c r="F102" t="s">
        <v>2619</v>
      </c>
      <c r="G102" t="s">
        <v>2620</v>
      </c>
      <c r="H102" t="s">
        <v>22</v>
      </c>
      <c r="I102" t="s">
        <v>809</v>
      </c>
    </row>
    <row r="103" spans="1:9" ht="11.25" customHeight="1">
      <c r="A103" t="s">
        <v>2248</v>
      </c>
      <c r="B103" t="s">
        <v>16</v>
      </c>
      <c r="C103" t="s">
        <v>2621</v>
      </c>
      <c r="D103" t="s">
        <v>2622</v>
      </c>
      <c r="E103" t="s">
        <v>2623</v>
      </c>
      <c r="F103" t="s">
        <v>2282</v>
      </c>
      <c r="G103" t="s">
        <v>22</v>
      </c>
      <c r="H103" t="s">
        <v>22</v>
      </c>
      <c r="I103" t="s">
        <v>809</v>
      </c>
    </row>
    <row r="104" spans="1:9" ht="11.25" customHeight="1">
      <c r="A104" t="s">
        <v>2248</v>
      </c>
      <c r="B104" t="s">
        <v>16</v>
      </c>
      <c r="C104" t="s">
        <v>2624</v>
      </c>
      <c r="D104" t="s">
        <v>2625</v>
      </c>
      <c r="E104" t="s">
        <v>2626</v>
      </c>
      <c r="F104" t="s">
        <v>2343</v>
      </c>
      <c r="G104" t="s">
        <v>2627</v>
      </c>
      <c r="H104" t="s">
        <v>22</v>
      </c>
      <c r="I104" t="s">
        <v>809</v>
      </c>
    </row>
    <row r="105" spans="1:9" ht="11.25" customHeight="1">
      <c r="A105" t="s">
        <v>2248</v>
      </c>
      <c r="B105" t="s">
        <v>16</v>
      </c>
      <c r="C105" t="s">
        <v>2628</v>
      </c>
      <c r="D105" t="s">
        <v>2629</v>
      </c>
      <c r="E105" t="s">
        <v>2630</v>
      </c>
      <c r="F105" t="s">
        <v>2631</v>
      </c>
      <c r="G105" t="s">
        <v>22</v>
      </c>
      <c r="H105" t="s">
        <v>22</v>
      </c>
      <c r="I105" t="s">
        <v>809</v>
      </c>
    </row>
    <row r="106" spans="1:9" ht="11.25" customHeight="1">
      <c r="A106" t="s">
        <v>2248</v>
      </c>
      <c r="B106" t="s">
        <v>16</v>
      </c>
      <c r="C106" t="s">
        <v>2632</v>
      </c>
      <c r="D106" t="s">
        <v>2633</v>
      </c>
      <c r="E106" t="s">
        <v>2634</v>
      </c>
      <c r="F106" t="s">
        <v>2635</v>
      </c>
      <c r="G106" t="s">
        <v>2636</v>
      </c>
      <c r="H106" t="s">
        <v>22</v>
      </c>
      <c r="I106" t="s">
        <v>809</v>
      </c>
    </row>
    <row r="107" spans="1:9" ht="11.25" customHeight="1">
      <c r="A107" t="s">
        <v>2248</v>
      </c>
      <c r="B107" t="s">
        <v>16</v>
      </c>
      <c r="C107" t="s">
        <v>2637</v>
      </c>
      <c r="D107" t="s">
        <v>2638</v>
      </c>
      <c r="E107" t="s">
        <v>2639</v>
      </c>
      <c r="F107" t="s">
        <v>2640</v>
      </c>
      <c r="G107" t="s">
        <v>22</v>
      </c>
      <c r="H107" t="s">
        <v>22</v>
      </c>
      <c r="I107" t="s">
        <v>809</v>
      </c>
    </row>
    <row r="108" spans="1:9" ht="11.25" customHeight="1">
      <c r="A108" t="s">
        <v>2248</v>
      </c>
      <c r="B108" t="s">
        <v>16</v>
      </c>
      <c r="C108" t="s">
        <v>2641</v>
      </c>
      <c r="D108" t="s">
        <v>2642</v>
      </c>
      <c r="E108" t="s">
        <v>2643</v>
      </c>
      <c r="F108" t="s">
        <v>2455</v>
      </c>
      <c r="G108" t="s">
        <v>22</v>
      </c>
      <c r="H108" t="s">
        <v>22</v>
      </c>
      <c r="I108" t="s">
        <v>809</v>
      </c>
    </row>
    <row r="109" spans="1:9" ht="11.25" customHeight="1">
      <c r="A109" t="s">
        <v>2248</v>
      </c>
      <c r="B109" t="s">
        <v>16</v>
      </c>
      <c r="C109" t="s">
        <v>2644</v>
      </c>
      <c r="D109" t="s">
        <v>2645</v>
      </c>
      <c r="E109" t="s">
        <v>2646</v>
      </c>
      <c r="F109" t="s">
        <v>2631</v>
      </c>
      <c r="G109" t="s">
        <v>2647</v>
      </c>
      <c r="H109" t="s">
        <v>22</v>
      </c>
      <c r="I109" t="s">
        <v>809</v>
      </c>
    </row>
    <row r="110" spans="1:9" ht="11.25" customHeight="1">
      <c r="A110" t="s">
        <v>2248</v>
      </c>
      <c r="B110" t="s">
        <v>16</v>
      </c>
      <c r="C110" t="s">
        <v>2648</v>
      </c>
      <c r="D110" t="s">
        <v>2649</v>
      </c>
      <c r="E110" t="s">
        <v>2650</v>
      </c>
      <c r="F110" t="s">
        <v>2324</v>
      </c>
      <c r="G110" t="s">
        <v>22</v>
      </c>
      <c r="H110" t="s">
        <v>22</v>
      </c>
      <c r="I110" t="s">
        <v>809</v>
      </c>
    </row>
    <row r="111" spans="1:9" ht="11.25" customHeight="1">
      <c r="A111" t="s">
        <v>2248</v>
      </c>
      <c r="B111" t="s">
        <v>16</v>
      </c>
      <c r="C111" t="s">
        <v>2651</v>
      </c>
      <c r="D111" t="s">
        <v>2652</v>
      </c>
      <c r="E111" t="s">
        <v>2653</v>
      </c>
      <c r="F111" t="s">
        <v>2437</v>
      </c>
      <c r="G111" t="s">
        <v>22</v>
      </c>
      <c r="H111" t="s">
        <v>22</v>
      </c>
      <c r="I111" t="s">
        <v>809</v>
      </c>
    </row>
    <row r="112" spans="1:9" ht="11.25" customHeight="1">
      <c r="A112" t="s">
        <v>2248</v>
      </c>
      <c r="B112" t="s">
        <v>16</v>
      </c>
      <c r="C112" t="s">
        <v>2654</v>
      </c>
      <c r="D112" t="s">
        <v>2655</v>
      </c>
      <c r="E112" t="s">
        <v>2656</v>
      </c>
      <c r="F112" t="s">
        <v>2356</v>
      </c>
      <c r="G112" t="s">
        <v>22</v>
      </c>
      <c r="H112" t="s">
        <v>22</v>
      </c>
      <c r="I112" t="s">
        <v>809</v>
      </c>
    </row>
    <row r="113" spans="1:9" ht="11.25" customHeight="1">
      <c r="A113" t="s">
        <v>2248</v>
      </c>
      <c r="B113" t="s">
        <v>16</v>
      </c>
      <c r="C113" t="s">
        <v>2657</v>
      </c>
      <c r="D113" t="s">
        <v>2658</v>
      </c>
      <c r="E113" t="s">
        <v>2659</v>
      </c>
      <c r="F113" t="s">
        <v>2418</v>
      </c>
      <c r="G113" t="s">
        <v>22</v>
      </c>
      <c r="H113" t="s">
        <v>22</v>
      </c>
      <c r="I113" t="s">
        <v>809</v>
      </c>
    </row>
    <row r="114" spans="1:9" ht="11.25" customHeight="1">
      <c r="A114" t="s">
        <v>2248</v>
      </c>
      <c r="B114" t="s">
        <v>16</v>
      </c>
      <c r="C114" t="s">
        <v>2660</v>
      </c>
      <c r="D114" t="s">
        <v>2661</v>
      </c>
      <c r="E114" t="s">
        <v>2662</v>
      </c>
      <c r="F114" t="s">
        <v>2437</v>
      </c>
      <c r="G114" t="s">
        <v>22</v>
      </c>
      <c r="H114" t="s">
        <v>22</v>
      </c>
      <c r="I114" t="s">
        <v>809</v>
      </c>
    </row>
    <row r="115" spans="1:9" ht="11.25" customHeight="1">
      <c r="A115" t="s">
        <v>2248</v>
      </c>
      <c r="B115" t="s">
        <v>16</v>
      </c>
      <c r="C115" t="s">
        <v>2663</v>
      </c>
      <c r="D115" t="s">
        <v>2664</v>
      </c>
      <c r="E115" t="s">
        <v>2665</v>
      </c>
      <c r="F115" t="s">
        <v>2666</v>
      </c>
      <c r="G115" t="s">
        <v>2667</v>
      </c>
      <c r="H115" t="s">
        <v>22</v>
      </c>
      <c r="I115" t="s">
        <v>809</v>
      </c>
    </row>
    <row r="116" spans="1:9" ht="11.25" customHeight="1">
      <c r="A116" t="s">
        <v>2248</v>
      </c>
      <c r="B116" t="s">
        <v>16</v>
      </c>
      <c r="C116" t="s">
        <v>2668</v>
      </c>
      <c r="D116" t="s">
        <v>2669</v>
      </c>
      <c r="E116" t="s">
        <v>2670</v>
      </c>
      <c r="F116" t="s">
        <v>2320</v>
      </c>
      <c r="G116" t="s">
        <v>22</v>
      </c>
      <c r="H116" t="s">
        <v>22</v>
      </c>
      <c r="I116" t="s">
        <v>809</v>
      </c>
    </row>
    <row r="117" spans="1:9" ht="11.25" customHeight="1">
      <c r="A117" t="s">
        <v>2248</v>
      </c>
      <c r="B117" t="s">
        <v>16</v>
      </c>
      <c r="C117" t="s">
        <v>2671</v>
      </c>
      <c r="D117" t="s">
        <v>2672</v>
      </c>
      <c r="E117" t="s">
        <v>2673</v>
      </c>
      <c r="F117" t="s">
        <v>2290</v>
      </c>
      <c r="G117" t="s">
        <v>22</v>
      </c>
      <c r="H117" t="s">
        <v>22</v>
      </c>
      <c r="I117" t="s">
        <v>809</v>
      </c>
    </row>
    <row r="118" spans="1:9" ht="11.25" customHeight="1">
      <c r="A118" t="s">
        <v>2248</v>
      </c>
      <c r="B118" t="s">
        <v>16</v>
      </c>
      <c r="C118" t="s">
        <v>2674</v>
      </c>
      <c r="D118" t="s">
        <v>2675</v>
      </c>
      <c r="E118" t="s">
        <v>2676</v>
      </c>
      <c r="F118" t="s">
        <v>2596</v>
      </c>
      <c r="G118" t="s">
        <v>22</v>
      </c>
      <c r="H118" t="s">
        <v>22</v>
      </c>
      <c r="I118" t="s">
        <v>809</v>
      </c>
    </row>
    <row r="119" spans="1:9" ht="11.25" customHeight="1">
      <c r="A119" t="s">
        <v>2248</v>
      </c>
      <c r="B119" t="s">
        <v>16</v>
      </c>
      <c r="C119" t="s">
        <v>2677</v>
      </c>
      <c r="D119" t="s">
        <v>2678</v>
      </c>
      <c r="E119" t="s">
        <v>2679</v>
      </c>
      <c r="F119" t="s">
        <v>2367</v>
      </c>
      <c r="G119" t="s">
        <v>22</v>
      </c>
      <c r="H119" t="s">
        <v>22</v>
      </c>
      <c r="I119" t="s">
        <v>809</v>
      </c>
    </row>
    <row r="120" spans="1:9" ht="11.25" customHeight="1">
      <c r="A120" t="s">
        <v>2248</v>
      </c>
      <c r="B120" t="s">
        <v>16</v>
      </c>
      <c r="C120" t="s">
        <v>2680</v>
      </c>
      <c r="D120" t="s">
        <v>2681</v>
      </c>
      <c r="E120" t="s">
        <v>2682</v>
      </c>
      <c r="F120" t="s">
        <v>2683</v>
      </c>
      <c r="G120" t="s">
        <v>22</v>
      </c>
      <c r="H120" t="s">
        <v>22</v>
      </c>
      <c r="I120" t="s">
        <v>809</v>
      </c>
    </row>
    <row r="121" spans="1:9" ht="11.25" customHeight="1">
      <c r="A121" t="s">
        <v>2248</v>
      </c>
      <c r="B121" t="s">
        <v>16</v>
      </c>
      <c r="C121" t="s">
        <v>2684</v>
      </c>
      <c r="D121" t="s">
        <v>2685</v>
      </c>
      <c r="E121" t="s">
        <v>2686</v>
      </c>
      <c r="F121" t="s">
        <v>2316</v>
      </c>
      <c r="G121" t="s">
        <v>2687</v>
      </c>
      <c r="H121" t="s">
        <v>22</v>
      </c>
      <c r="I121" t="s">
        <v>809</v>
      </c>
    </row>
    <row r="122" spans="1:9" ht="11.25" customHeight="1">
      <c r="A122" t="s">
        <v>2248</v>
      </c>
      <c r="B122" t="s">
        <v>16</v>
      </c>
      <c r="C122" t="s">
        <v>2688</v>
      </c>
      <c r="D122" t="s">
        <v>2689</v>
      </c>
      <c r="E122" t="s">
        <v>2690</v>
      </c>
      <c r="F122" t="s">
        <v>2691</v>
      </c>
      <c r="G122" t="s">
        <v>2692</v>
      </c>
      <c r="H122" t="s">
        <v>22</v>
      </c>
      <c r="I122" t="s">
        <v>809</v>
      </c>
    </row>
    <row r="123" spans="1:9" ht="11.25" customHeight="1">
      <c r="A123" t="s">
        <v>2248</v>
      </c>
      <c r="B123" t="s">
        <v>16</v>
      </c>
      <c r="C123" t="s">
        <v>2693</v>
      </c>
      <c r="D123" t="s">
        <v>2694</v>
      </c>
      <c r="E123" t="s">
        <v>2695</v>
      </c>
      <c r="F123" t="s">
        <v>2273</v>
      </c>
      <c r="G123" t="s">
        <v>22</v>
      </c>
      <c r="H123" t="s">
        <v>22</v>
      </c>
      <c r="I123" t="s">
        <v>809</v>
      </c>
    </row>
    <row r="124" spans="1:9" ht="11.25" customHeight="1">
      <c r="A124" t="s">
        <v>2248</v>
      </c>
      <c r="B124" t="s">
        <v>16</v>
      </c>
      <c r="C124" t="s">
        <v>13</v>
      </c>
      <c r="D124" t="s">
        <v>46</v>
      </c>
      <c r="E124" t="s">
        <v>49</v>
      </c>
      <c r="F124" t="s">
        <v>51</v>
      </c>
      <c r="G124" t="s">
        <v>2696</v>
      </c>
      <c r="H124" t="s">
        <v>22</v>
      </c>
      <c r="I124" t="s">
        <v>809</v>
      </c>
    </row>
    <row r="125" spans="1:9" ht="11.25" customHeight="1">
      <c r="A125" t="s">
        <v>2248</v>
      </c>
      <c r="B125" t="s">
        <v>16</v>
      </c>
      <c r="C125" t="s">
        <v>2697</v>
      </c>
      <c r="D125" t="s">
        <v>2698</v>
      </c>
      <c r="E125" t="s">
        <v>2699</v>
      </c>
      <c r="F125" t="s">
        <v>2635</v>
      </c>
      <c r="G125" t="s">
        <v>2700</v>
      </c>
      <c r="H125" t="s">
        <v>22</v>
      </c>
      <c r="I125" t="s">
        <v>809</v>
      </c>
    </row>
    <row r="126" spans="1:9" ht="11.25" customHeight="1">
      <c r="A126" t="s">
        <v>2248</v>
      </c>
      <c r="B126" t="s">
        <v>16</v>
      </c>
      <c r="C126" t="s">
        <v>2701</v>
      </c>
      <c r="D126" t="s">
        <v>2702</v>
      </c>
      <c r="E126" t="s">
        <v>2703</v>
      </c>
      <c r="F126" t="s">
        <v>2258</v>
      </c>
      <c r="G126" t="s">
        <v>22</v>
      </c>
      <c r="H126" t="s">
        <v>22</v>
      </c>
      <c r="I126" t="s">
        <v>809</v>
      </c>
    </row>
    <row r="127" spans="1:9" ht="11.25" customHeight="1">
      <c r="A127" t="s">
        <v>2248</v>
      </c>
      <c r="B127" t="s">
        <v>16</v>
      </c>
      <c r="C127" t="s">
        <v>2704</v>
      </c>
      <c r="D127" t="s">
        <v>2705</v>
      </c>
      <c r="E127" t="s">
        <v>2706</v>
      </c>
      <c r="F127" t="s">
        <v>2538</v>
      </c>
      <c r="G127" t="s">
        <v>22</v>
      </c>
      <c r="H127" t="s">
        <v>22</v>
      </c>
      <c r="I127" t="s">
        <v>809</v>
      </c>
    </row>
    <row r="128" spans="1:9" ht="11.25" customHeight="1">
      <c r="A128" t="s">
        <v>2248</v>
      </c>
      <c r="B128" t="s">
        <v>16</v>
      </c>
      <c r="C128" t="s">
        <v>2707</v>
      </c>
      <c r="D128" t="s">
        <v>2708</v>
      </c>
      <c r="E128" t="s">
        <v>2709</v>
      </c>
      <c r="F128" t="s">
        <v>2502</v>
      </c>
      <c r="G128" t="s">
        <v>22</v>
      </c>
      <c r="H128" t="s">
        <v>22</v>
      </c>
      <c r="I128" t="s">
        <v>809</v>
      </c>
    </row>
    <row r="129" spans="1:9" ht="11.25" customHeight="1">
      <c r="A129" t="s">
        <v>2248</v>
      </c>
      <c r="B129" t="s">
        <v>16</v>
      </c>
      <c r="C129" t="s">
        <v>2710</v>
      </c>
      <c r="D129" t="s">
        <v>2711</v>
      </c>
      <c r="E129" t="s">
        <v>2712</v>
      </c>
      <c r="F129" t="s">
        <v>2631</v>
      </c>
      <c r="G129" t="s">
        <v>22</v>
      </c>
      <c r="H129" t="s">
        <v>22</v>
      </c>
      <c r="I129" t="s">
        <v>809</v>
      </c>
    </row>
    <row r="130" spans="1:9" ht="11.25" customHeight="1">
      <c r="A130" t="s">
        <v>2248</v>
      </c>
      <c r="B130" t="s">
        <v>16</v>
      </c>
      <c r="C130" t="s">
        <v>2713</v>
      </c>
      <c r="D130" t="s">
        <v>2714</v>
      </c>
      <c r="E130" t="s">
        <v>2715</v>
      </c>
      <c r="F130" t="s">
        <v>2258</v>
      </c>
      <c r="G130" t="s">
        <v>2264</v>
      </c>
      <c r="H130" t="s">
        <v>22</v>
      </c>
      <c r="I130" t="s">
        <v>809</v>
      </c>
    </row>
    <row r="131" spans="1:9" ht="11.25" customHeight="1">
      <c r="A131" t="s">
        <v>2248</v>
      </c>
      <c r="B131" t="s">
        <v>16</v>
      </c>
      <c r="C131" t="s">
        <v>2716</v>
      </c>
      <c r="D131" t="s">
        <v>2717</v>
      </c>
      <c r="E131" t="s">
        <v>2718</v>
      </c>
      <c r="F131" t="s">
        <v>2258</v>
      </c>
      <c r="G131" t="s">
        <v>22</v>
      </c>
      <c r="H131" t="s">
        <v>22</v>
      </c>
      <c r="I131" t="s">
        <v>809</v>
      </c>
    </row>
    <row r="132" spans="1:9" ht="11.25" customHeight="1">
      <c r="A132" t="s">
        <v>2248</v>
      </c>
      <c r="B132" t="s">
        <v>16</v>
      </c>
      <c r="C132" t="s">
        <v>2719</v>
      </c>
      <c r="D132" t="s">
        <v>2720</v>
      </c>
      <c r="E132" t="s">
        <v>2721</v>
      </c>
      <c r="F132" t="s">
        <v>2511</v>
      </c>
      <c r="G132" t="s">
        <v>2722</v>
      </c>
      <c r="H132" t="s">
        <v>22</v>
      </c>
      <c r="I132" t="s">
        <v>809</v>
      </c>
    </row>
    <row r="133" spans="1:9" ht="11.25" customHeight="1">
      <c r="A133" t="s">
        <v>2248</v>
      </c>
      <c r="B133" t="s">
        <v>16</v>
      </c>
      <c r="C133" t="s">
        <v>2723</v>
      </c>
      <c r="D133" t="s">
        <v>2724</v>
      </c>
      <c r="E133" t="s">
        <v>2725</v>
      </c>
      <c r="F133" t="s">
        <v>2335</v>
      </c>
      <c r="G133" t="s">
        <v>22</v>
      </c>
      <c r="H133" t="s">
        <v>22</v>
      </c>
      <c r="I133" t="s">
        <v>809</v>
      </c>
    </row>
    <row r="134" spans="1:9" ht="11.25" customHeight="1">
      <c r="A134" t="s">
        <v>2248</v>
      </c>
      <c r="B134" t="s">
        <v>16</v>
      </c>
      <c r="C134" t="s">
        <v>2726</v>
      </c>
      <c r="D134" t="s">
        <v>2727</v>
      </c>
      <c r="E134" t="s">
        <v>2728</v>
      </c>
      <c r="F134" t="s">
        <v>2729</v>
      </c>
      <c r="G134" t="s">
        <v>2730</v>
      </c>
      <c r="H134" t="s">
        <v>22</v>
      </c>
      <c r="I134" t="s">
        <v>809</v>
      </c>
    </row>
    <row r="135" spans="1:9" ht="11.25" customHeight="1">
      <c r="A135" t="s">
        <v>2248</v>
      </c>
      <c r="B135" t="s">
        <v>16</v>
      </c>
      <c r="C135" t="s">
        <v>2731</v>
      </c>
      <c r="D135" t="s">
        <v>2732</v>
      </c>
      <c r="E135" t="s">
        <v>2733</v>
      </c>
      <c r="F135" t="s">
        <v>2282</v>
      </c>
      <c r="G135" t="s">
        <v>22</v>
      </c>
      <c r="H135" t="s">
        <v>22</v>
      </c>
      <c r="I135" t="s">
        <v>809</v>
      </c>
    </row>
    <row r="136" spans="1:9" ht="11.25" customHeight="1">
      <c r="A136" t="s">
        <v>2248</v>
      </c>
      <c r="B136" t="s">
        <v>16</v>
      </c>
      <c r="C136" t="s">
        <v>2734</v>
      </c>
      <c r="D136" t="s">
        <v>2735</v>
      </c>
      <c r="E136" t="s">
        <v>2736</v>
      </c>
      <c r="F136" t="s">
        <v>2335</v>
      </c>
      <c r="G136" t="s">
        <v>2737</v>
      </c>
      <c r="H136" t="s">
        <v>22</v>
      </c>
      <c r="I136" t="s">
        <v>809</v>
      </c>
    </row>
    <row r="137" spans="1:9" ht="11.25" customHeight="1">
      <c r="A137" t="s">
        <v>2248</v>
      </c>
      <c r="B137" t="s">
        <v>16</v>
      </c>
      <c r="C137" t="s">
        <v>2738</v>
      </c>
      <c r="D137" t="s">
        <v>2739</v>
      </c>
      <c r="E137" t="s">
        <v>2740</v>
      </c>
      <c r="F137" t="s">
        <v>2273</v>
      </c>
      <c r="G137" t="s">
        <v>22</v>
      </c>
      <c r="H137" t="s">
        <v>22</v>
      </c>
      <c r="I137" t="s">
        <v>809</v>
      </c>
    </row>
    <row r="138" spans="1:9" ht="11.25" customHeight="1">
      <c r="A138" t="s">
        <v>2248</v>
      </c>
      <c r="B138" t="s">
        <v>16</v>
      </c>
      <c r="C138" t="s">
        <v>2741</v>
      </c>
      <c r="D138" t="s">
        <v>2742</v>
      </c>
      <c r="E138" t="s">
        <v>2743</v>
      </c>
      <c r="F138" t="s">
        <v>2290</v>
      </c>
      <c r="G138" t="s">
        <v>22</v>
      </c>
      <c r="H138" t="s">
        <v>22</v>
      </c>
      <c r="I138" t="s">
        <v>809</v>
      </c>
    </row>
    <row r="139" spans="1:9" ht="11.25" customHeight="1">
      <c r="A139" t="s">
        <v>2248</v>
      </c>
      <c r="B139" t="s">
        <v>16</v>
      </c>
      <c r="C139" t="s">
        <v>2744</v>
      </c>
      <c r="D139" t="s">
        <v>2745</v>
      </c>
      <c r="E139" t="s">
        <v>2746</v>
      </c>
      <c r="F139" t="s">
        <v>2635</v>
      </c>
      <c r="G139" t="s">
        <v>22</v>
      </c>
      <c r="H139" t="s">
        <v>22</v>
      </c>
      <c r="I139" t="s">
        <v>809</v>
      </c>
    </row>
    <row r="140" spans="1:9" ht="11.25" customHeight="1">
      <c r="A140" t="s">
        <v>2248</v>
      </c>
      <c r="B140" t="s">
        <v>16</v>
      </c>
      <c r="C140" t="s">
        <v>2747</v>
      </c>
      <c r="D140" t="s">
        <v>2748</v>
      </c>
      <c r="E140" t="s">
        <v>2749</v>
      </c>
      <c r="F140" t="s">
        <v>2343</v>
      </c>
      <c r="G140" t="s">
        <v>22</v>
      </c>
      <c r="H140" t="s">
        <v>22</v>
      </c>
      <c r="I140" t="s">
        <v>809</v>
      </c>
    </row>
    <row r="141" spans="1:9" ht="11.25" customHeight="1">
      <c r="A141" t="s">
        <v>2248</v>
      </c>
      <c r="B141" t="s">
        <v>16</v>
      </c>
      <c r="C141" t="s">
        <v>2750</v>
      </c>
      <c r="D141" t="s">
        <v>2751</v>
      </c>
      <c r="E141" t="s">
        <v>2752</v>
      </c>
      <c r="F141" t="s">
        <v>2363</v>
      </c>
      <c r="G141" t="s">
        <v>22</v>
      </c>
      <c r="H141" t="s">
        <v>22</v>
      </c>
      <c r="I141" t="s">
        <v>809</v>
      </c>
    </row>
    <row r="142" spans="1:9" ht="11.25" customHeight="1">
      <c r="A142" t="s">
        <v>2248</v>
      </c>
      <c r="B142" t="s">
        <v>16</v>
      </c>
      <c r="C142" t="s">
        <v>2753</v>
      </c>
      <c r="D142" t="s">
        <v>2754</v>
      </c>
      <c r="E142" t="s">
        <v>2755</v>
      </c>
      <c r="F142" t="s">
        <v>2254</v>
      </c>
      <c r="G142" t="s">
        <v>22</v>
      </c>
      <c r="H142" t="s">
        <v>22</v>
      </c>
      <c r="I142" t="s">
        <v>809</v>
      </c>
    </row>
    <row r="143" spans="1:9" ht="11.25" customHeight="1">
      <c r="A143" t="s">
        <v>2248</v>
      </c>
      <c r="B143" t="s">
        <v>16</v>
      </c>
      <c r="C143" t="s">
        <v>2756</v>
      </c>
      <c r="D143" t="s">
        <v>2757</v>
      </c>
      <c r="E143" t="s">
        <v>2758</v>
      </c>
      <c r="F143" t="s">
        <v>2759</v>
      </c>
      <c r="G143" t="s">
        <v>22</v>
      </c>
      <c r="H143" t="s">
        <v>22</v>
      </c>
      <c r="I143" t="s">
        <v>809</v>
      </c>
    </row>
    <row r="144" spans="1:9" ht="11.25" customHeight="1">
      <c r="A144" t="s">
        <v>2248</v>
      </c>
      <c r="B144" t="s">
        <v>16</v>
      </c>
      <c r="C144" t="s">
        <v>2760</v>
      </c>
      <c r="D144" t="s">
        <v>2761</v>
      </c>
      <c r="E144" t="s">
        <v>2595</v>
      </c>
      <c r="F144" t="s">
        <v>2268</v>
      </c>
      <c r="G144" t="s">
        <v>22</v>
      </c>
      <c r="H144" t="s">
        <v>22</v>
      </c>
      <c r="I144" t="s">
        <v>809</v>
      </c>
    </row>
    <row r="145" spans="1:9" ht="11.25" customHeight="1">
      <c r="A145" t="s">
        <v>2248</v>
      </c>
      <c r="B145" t="s">
        <v>16</v>
      </c>
      <c r="C145" t="s">
        <v>2762</v>
      </c>
      <c r="D145" t="s">
        <v>2763</v>
      </c>
      <c r="E145" t="s">
        <v>2764</v>
      </c>
      <c r="F145" t="s">
        <v>2356</v>
      </c>
      <c r="G145" t="s">
        <v>22</v>
      </c>
      <c r="H145" t="s">
        <v>22</v>
      </c>
      <c r="I145" t="s">
        <v>809</v>
      </c>
    </row>
    <row r="146" spans="1:9" ht="11.25" customHeight="1">
      <c r="A146" t="s">
        <v>2248</v>
      </c>
      <c r="B146" t="s">
        <v>16</v>
      </c>
      <c r="C146" t="s">
        <v>2765</v>
      </c>
      <c r="D146" t="s">
        <v>2766</v>
      </c>
      <c r="E146" t="s">
        <v>2767</v>
      </c>
      <c r="F146" t="s">
        <v>2552</v>
      </c>
      <c r="G146" t="s">
        <v>22</v>
      </c>
      <c r="H146" t="s">
        <v>22</v>
      </c>
      <c r="I146" t="s">
        <v>809</v>
      </c>
    </row>
    <row r="147" spans="1:9" ht="11.25" customHeight="1">
      <c r="A147" t="s">
        <v>2248</v>
      </c>
      <c r="B147" t="s">
        <v>16</v>
      </c>
      <c r="C147" t="s">
        <v>2768</v>
      </c>
      <c r="D147" t="s">
        <v>2769</v>
      </c>
      <c r="E147" t="s">
        <v>2770</v>
      </c>
      <c r="F147" t="s">
        <v>2258</v>
      </c>
      <c r="G147" t="s">
        <v>22</v>
      </c>
      <c r="H147" t="s">
        <v>22</v>
      </c>
      <c r="I147" t="s">
        <v>809</v>
      </c>
    </row>
    <row r="148" spans="1:9" ht="11.25" customHeight="1">
      <c r="A148" t="s">
        <v>2248</v>
      </c>
      <c r="B148" t="s">
        <v>16</v>
      </c>
      <c r="C148" t="s">
        <v>2771</v>
      </c>
      <c r="D148" t="s">
        <v>2772</v>
      </c>
      <c r="E148" t="s">
        <v>2773</v>
      </c>
      <c r="F148" t="s">
        <v>2538</v>
      </c>
      <c r="G148" t="s">
        <v>2774</v>
      </c>
      <c r="H148" t="s">
        <v>22</v>
      </c>
      <c r="I148" t="s">
        <v>809</v>
      </c>
    </row>
    <row r="149" spans="1:9" ht="11.25" customHeight="1">
      <c r="A149" t="s">
        <v>2248</v>
      </c>
      <c r="B149" t="s">
        <v>16</v>
      </c>
      <c r="C149" t="s">
        <v>2775</v>
      </c>
      <c r="D149" t="s">
        <v>2776</v>
      </c>
      <c r="E149" t="s">
        <v>2777</v>
      </c>
      <c r="F149" t="s">
        <v>2433</v>
      </c>
      <c r="G149" t="s">
        <v>22</v>
      </c>
      <c r="H149" t="s">
        <v>22</v>
      </c>
      <c r="I149" t="s">
        <v>809</v>
      </c>
    </row>
    <row r="150" spans="1:9" ht="11.25" customHeight="1">
      <c r="A150" t="s">
        <v>2248</v>
      </c>
      <c r="B150" t="s">
        <v>16</v>
      </c>
      <c r="C150" t="s">
        <v>2778</v>
      </c>
      <c r="D150" t="s">
        <v>2779</v>
      </c>
      <c r="E150" t="s">
        <v>2780</v>
      </c>
      <c r="F150" t="s">
        <v>2258</v>
      </c>
      <c r="G150" t="s">
        <v>2781</v>
      </c>
      <c r="H150" t="s">
        <v>2782</v>
      </c>
      <c r="I150" t="s">
        <v>809</v>
      </c>
    </row>
    <row r="151" spans="1:9" ht="11.25" customHeight="1">
      <c r="A151" t="s">
        <v>2248</v>
      </c>
      <c r="B151" t="s">
        <v>16</v>
      </c>
      <c r="C151" t="s">
        <v>2783</v>
      </c>
      <c r="D151" t="s">
        <v>2784</v>
      </c>
      <c r="E151" t="s">
        <v>2785</v>
      </c>
      <c r="F151" t="s">
        <v>2367</v>
      </c>
      <c r="G151" t="s">
        <v>22</v>
      </c>
      <c r="H151" t="s">
        <v>22</v>
      </c>
      <c r="I151" t="s">
        <v>809</v>
      </c>
    </row>
    <row r="152" spans="1:9" ht="11.25" customHeight="1">
      <c r="A152" t="s">
        <v>2248</v>
      </c>
      <c r="B152" t="s">
        <v>16</v>
      </c>
      <c r="C152" t="s">
        <v>2786</v>
      </c>
      <c r="D152" t="s">
        <v>2787</v>
      </c>
      <c r="E152" t="s">
        <v>2465</v>
      </c>
      <c r="F152" t="s">
        <v>2788</v>
      </c>
      <c r="G152" t="s">
        <v>22</v>
      </c>
      <c r="H152" t="s">
        <v>22</v>
      </c>
      <c r="I152" t="s">
        <v>809</v>
      </c>
    </row>
    <row r="153" spans="1:9" ht="11.25" customHeight="1">
      <c r="A153" t="s">
        <v>2248</v>
      </c>
      <c r="B153" t="s">
        <v>16</v>
      </c>
      <c r="C153" t="s">
        <v>2789</v>
      </c>
      <c r="D153" t="s">
        <v>2790</v>
      </c>
      <c r="E153" t="s">
        <v>2791</v>
      </c>
      <c r="F153" t="s">
        <v>2759</v>
      </c>
      <c r="G153" t="s">
        <v>2264</v>
      </c>
      <c r="H153" t="s">
        <v>22</v>
      </c>
      <c r="I153" t="s">
        <v>809</v>
      </c>
    </row>
    <row r="154" spans="1:9" ht="11.25" customHeight="1">
      <c r="A154" t="s">
        <v>2248</v>
      </c>
      <c r="B154" t="s">
        <v>16</v>
      </c>
      <c r="C154" t="s">
        <v>2792</v>
      </c>
      <c r="D154" t="s">
        <v>2793</v>
      </c>
      <c r="E154" t="s">
        <v>2794</v>
      </c>
      <c r="F154" t="s">
        <v>2268</v>
      </c>
      <c r="G154" t="s">
        <v>22</v>
      </c>
      <c r="H154" t="s">
        <v>22</v>
      </c>
      <c r="I154" t="s">
        <v>809</v>
      </c>
    </row>
    <row r="155" spans="1:9" ht="11.25" customHeight="1">
      <c r="A155" t="s">
        <v>2248</v>
      </c>
      <c r="B155" t="s">
        <v>16</v>
      </c>
      <c r="C155" t="s">
        <v>2795</v>
      </c>
      <c r="D155" t="s">
        <v>2796</v>
      </c>
      <c r="E155" t="s">
        <v>2797</v>
      </c>
      <c r="F155" t="s">
        <v>2552</v>
      </c>
      <c r="G155" t="s">
        <v>2798</v>
      </c>
      <c r="H155" t="s">
        <v>22</v>
      </c>
      <c r="I155" t="s">
        <v>809</v>
      </c>
    </row>
    <row r="156" spans="1:9" ht="11.25" customHeight="1">
      <c r="A156" t="s">
        <v>2248</v>
      </c>
      <c r="B156" t="s">
        <v>16</v>
      </c>
      <c r="C156" t="s">
        <v>2799</v>
      </c>
      <c r="D156" t="s">
        <v>2800</v>
      </c>
      <c r="E156" t="s">
        <v>2801</v>
      </c>
      <c r="F156" t="s">
        <v>2511</v>
      </c>
      <c r="G156" t="s">
        <v>22</v>
      </c>
      <c r="H156" t="s">
        <v>22</v>
      </c>
      <c r="I156" t="s">
        <v>809</v>
      </c>
    </row>
    <row r="157" spans="1:9" ht="11.25" customHeight="1">
      <c r="A157" t="s">
        <v>2248</v>
      </c>
      <c r="B157" t="s">
        <v>16</v>
      </c>
      <c r="C157" t="s">
        <v>2802</v>
      </c>
      <c r="D157" t="s">
        <v>2803</v>
      </c>
      <c r="E157" t="s">
        <v>2804</v>
      </c>
      <c r="F157" t="s">
        <v>2258</v>
      </c>
      <c r="G157" t="s">
        <v>2805</v>
      </c>
      <c r="H157" t="s">
        <v>22</v>
      </c>
      <c r="I157" t="s">
        <v>809</v>
      </c>
    </row>
    <row r="158" spans="1:9" ht="11.25" customHeight="1">
      <c r="A158" t="s">
        <v>2248</v>
      </c>
      <c r="B158" t="s">
        <v>16</v>
      </c>
      <c r="C158" t="s">
        <v>2806</v>
      </c>
      <c r="D158" t="s">
        <v>2807</v>
      </c>
      <c r="E158" t="s">
        <v>2808</v>
      </c>
      <c r="F158" t="s">
        <v>2557</v>
      </c>
      <c r="G158" t="s">
        <v>22</v>
      </c>
      <c r="H158" t="s">
        <v>22</v>
      </c>
      <c r="I158" t="s">
        <v>809</v>
      </c>
    </row>
    <row r="159" spans="1:9" ht="11.25" customHeight="1">
      <c r="A159" t="s">
        <v>2248</v>
      </c>
      <c r="B159" t="s">
        <v>16</v>
      </c>
      <c r="C159" t="s">
        <v>2809</v>
      </c>
      <c r="D159" t="s">
        <v>2810</v>
      </c>
      <c r="E159" t="s">
        <v>2811</v>
      </c>
      <c r="F159" t="s">
        <v>2812</v>
      </c>
      <c r="G159" t="s">
        <v>2813</v>
      </c>
      <c r="H159" t="s">
        <v>22</v>
      </c>
      <c r="I159" t="s">
        <v>809</v>
      </c>
    </row>
    <row r="160" spans="1:9" ht="11.25" customHeight="1">
      <c r="A160" t="s">
        <v>2248</v>
      </c>
      <c r="B160" t="s">
        <v>16</v>
      </c>
      <c r="C160" t="s">
        <v>2814</v>
      </c>
      <c r="D160" t="s">
        <v>2815</v>
      </c>
      <c r="E160" t="s">
        <v>2816</v>
      </c>
      <c r="F160" t="s">
        <v>2552</v>
      </c>
      <c r="G160" t="s">
        <v>22</v>
      </c>
      <c r="H160" t="s">
        <v>22</v>
      </c>
      <c r="I160" t="s">
        <v>809</v>
      </c>
    </row>
    <row r="161" spans="1:9" ht="11.25" customHeight="1">
      <c r="A161" t="s">
        <v>2248</v>
      </c>
      <c r="B161" t="s">
        <v>16</v>
      </c>
      <c r="C161" t="s">
        <v>2817</v>
      </c>
      <c r="D161" t="s">
        <v>2818</v>
      </c>
      <c r="E161" t="s">
        <v>2819</v>
      </c>
      <c r="F161" t="s">
        <v>2759</v>
      </c>
      <c r="G161" t="s">
        <v>22</v>
      </c>
      <c r="H161" t="s">
        <v>22</v>
      </c>
      <c r="I161" t="s">
        <v>809</v>
      </c>
    </row>
    <row r="162" spans="1:9" ht="11.25" customHeight="1">
      <c r="A162" t="s">
        <v>2248</v>
      </c>
      <c r="B162" t="s">
        <v>16</v>
      </c>
      <c r="C162" t="s">
        <v>2820</v>
      </c>
      <c r="D162" t="s">
        <v>2821</v>
      </c>
      <c r="E162" t="s">
        <v>2822</v>
      </c>
      <c r="F162" t="s">
        <v>2759</v>
      </c>
      <c r="G162" t="s">
        <v>22</v>
      </c>
      <c r="H162" t="s">
        <v>22</v>
      </c>
      <c r="I162" t="s">
        <v>809</v>
      </c>
    </row>
    <row r="163" spans="1:9" ht="11.25" customHeight="1">
      <c r="A163" t="s">
        <v>2248</v>
      </c>
      <c r="B163" t="s">
        <v>16</v>
      </c>
      <c r="C163" t="s">
        <v>2823</v>
      </c>
      <c r="D163" t="s">
        <v>2824</v>
      </c>
      <c r="E163" t="s">
        <v>2825</v>
      </c>
      <c r="F163" t="s">
        <v>2335</v>
      </c>
      <c r="G163" t="s">
        <v>22</v>
      </c>
      <c r="H163" t="s">
        <v>2826</v>
      </c>
      <c r="I163" t="s">
        <v>809</v>
      </c>
    </row>
    <row r="164" spans="1:9" ht="11.25" customHeight="1">
      <c r="A164" t="s">
        <v>2248</v>
      </c>
      <c r="B164" t="s">
        <v>16</v>
      </c>
      <c r="C164" t="s">
        <v>2827</v>
      </c>
      <c r="D164" t="s">
        <v>2828</v>
      </c>
      <c r="E164" t="s">
        <v>2829</v>
      </c>
      <c r="F164" t="s">
        <v>2830</v>
      </c>
      <c r="G164" t="s">
        <v>2831</v>
      </c>
      <c r="H164" t="s">
        <v>22</v>
      </c>
      <c r="I164" t="s">
        <v>809</v>
      </c>
    </row>
    <row r="165" spans="1:9" ht="11.25" customHeight="1">
      <c r="A165" t="s">
        <v>2248</v>
      </c>
      <c r="B165" t="s">
        <v>16</v>
      </c>
      <c r="C165" t="s">
        <v>2832</v>
      </c>
      <c r="D165" t="s">
        <v>2833</v>
      </c>
      <c r="E165" t="s">
        <v>2834</v>
      </c>
      <c r="F165" t="s">
        <v>2258</v>
      </c>
      <c r="G165" t="s">
        <v>22</v>
      </c>
      <c r="H165" t="s">
        <v>22</v>
      </c>
      <c r="I165" t="s">
        <v>809</v>
      </c>
    </row>
    <row r="166" spans="1:9" ht="11.25" customHeight="1">
      <c r="A166" t="s">
        <v>2248</v>
      </c>
      <c r="B166" t="s">
        <v>16</v>
      </c>
      <c r="C166" t="s">
        <v>2835</v>
      </c>
      <c r="D166" t="s">
        <v>2836</v>
      </c>
      <c r="E166" t="s">
        <v>2837</v>
      </c>
      <c r="F166" t="s">
        <v>2511</v>
      </c>
      <c r="G166" t="s">
        <v>22</v>
      </c>
      <c r="H166" t="s">
        <v>22</v>
      </c>
      <c r="I166" t="s">
        <v>809</v>
      </c>
    </row>
    <row r="167" spans="1:9" ht="11.25" customHeight="1">
      <c r="A167" t="s">
        <v>2248</v>
      </c>
      <c r="B167" t="s">
        <v>16</v>
      </c>
      <c r="C167" t="s">
        <v>2838</v>
      </c>
      <c r="D167" t="s">
        <v>2839</v>
      </c>
      <c r="E167" t="s">
        <v>2840</v>
      </c>
      <c r="F167" t="s">
        <v>2258</v>
      </c>
      <c r="G167" t="s">
        <v>22</v>
      </c>
      <c r="H167" t="s">
        <v>22</v>
      </c>
      <c r="I167" t="s">
        <v>809</v>
      </c>
    </row>
    <row r="168" spans="1:9" ht="11.25" customHeight="1">
      <c r="A168" t="s">
        <v>2248</v>
      </c>
      <c r="B168" t="s">
        <v>16</v>
      </c>
      <c r="C168" t="s">
        <v>2841</v>
      </c>
      <c r="D168" t="s">
        <v>2842</v>
      </c>
      <c r="E168" t="s">
        <v>2843</v>
      </c>
      <c r="F168" t="s">
        <v>2433</v>
      </c>
      <c r="G168" t="s">
        <v>2844</v>
      </c>
      <c r="H168" t="s">
        <v>22</v>
      </c>
      <c r="I168" t="s">
        <v>809</v>
      </c>
    </row>
    <row r="169" spans="1:9" ht="11.25" customHeight="1">
      <c r="A169" t="s">
        <v>2248</v>
      </c>
      <c r="B169" t="s">
        <v>16</v>
      </c>
      <c r="C169" t="s">
        <v>2845</v>
      </c>
      <c r="D169" t="s">
        <v>2846</v>
      </c>
      <c r="E169" t="s">
        <v>2847</v>
      </c>
      <c r="F169" t="s">
        <v>2848</v>
      </c>
      <c r="G169" t="s">
        <v>22</v>
      </c>
      <c r="H169" t="s">
        <v>22</v>
      </c>
      <c r="I169" t="s">
        <v>809</v>
      </c>
    </row>
    <row r="170" spans="1:9" ht="11.25" customHeight="1">
      <c r="A170" t="s">
        <v>2248</v>
      </c>
      <c r="B170" t="s">
        <v>16</v>
      </c>
      <c r="C170" t="s">
        <v>2849</v>
      </c>
      <c r="D170" t="s">
        <v>2850</v>
      </c>
      <c r="E170" t="s">
        <v>2851</v>
      </c>
      <c r="F170" t="s">
        <v>2852</v>
      </c>
      <c r="G170" t="s">
        <v>22</v>
      </c>
      <c r="H170" t="s">
        <v>22</v>
      </c>
      <c r="I170" t="s">
        <v>809</v>
      </c>
    </row>
    <row r="171" spans="1:9" ht="11.25" customHeight="1">
      <c r="A171" t="s">
        <v>2248</v>
      </c>
      <c r="B171" t="s">
        <v>16</v>
      </c>
      <c r="C171" t="s">
        <v>2853</v>
      </c>
      <c r="D171" t="s">
        <v>2854</v>
      </c>
      <c r="E171" t="s">
        <v>2855</v>
      </c>
      <c r="F171" t="s">
        <v>2596</v>
      </c>
      <c r="G171" t="s">
        <v>2856</v>
      </c>
      <c r="H171" t="s">
        <v>22</v>
      </c>
      <c r="I171" t="s">
        <v>809</v>
      </c>
    </row>
    <row r="172" spans="1:9" ht="11.25" customHeight="1">
      <c r="A172" t="s">
        <v>2248</v>
      </c>
      <c r="B172" t="s">
        <v>16</v>
      </c>
      <c r="C172" t="s">
        <v>2857</v>
      </c>
      <c r="D172" t="s">
        <v>2858</v>
      </c>
      <c r="E172" t="s">
        <v>2859</v>
      </c>
      <c r="F172" t="s">
        <v>2316</v>
      </c>
      <c r="G172" t="s">
        <v>22</v>
      </c>
      <c r="H172" t="s">
        <v>22</v>
      </c>
      <c r="I172" t="s">
        <v>809</v>
      </c>
    </row>
    <row r="173" spans="1:9" ht="11.25" customHeight="1">
      <c r="A173" t="s">
        <v>2248</v>
      </c>
      <c r="B173" t="s">
        <v>16</v>
      </c>
      <c r="C173" t="s">
        <v>2860</v>
      </c>
      <c r="D173" t="s">
        <v>2861</v>
      </c>
      <c r="E173" t="s">
        <v>2862</v>
      </c>
      <c r="F173" t="s">
        <v>2343</v>
      </c>
      <c r="G173" t="s">
        <v>22</v>
      </c>
      <c r="H173" t="s">
        <v>22</v>
      </c>
      <c r="I173" t="s">
        <v>809</v>
      </c>
    </row>
    <row r="174" spans="1:9" ht="11.25" customHeight="1">
      <c r="A174" t="s">
        <v>2248</v>
      </c>
      <c r="B174" t="s">
        <v>16</v>
      </c>
      <c r="C174" t="s">
        <v>2863</v>
      </c>
      <c r="D174" t="s">
        <v>2864</v>
      </c>
      <c r="E174" t="s">
        <v>2865</v>
      </c>
      <c r="F174" t="s">
        <v>2866</v>
      </c>
      <c r="G174" t="s">
        <v>22</v>
      </c>
      <c r="H174" t="s">
        <v>22</v>
      </c>
      <c r="I174" t="s">
        <v>809</v>
      </c>
    </row>
    <row r="175" spans="1:9" ht="11.25" customHeight="1">
      <c r="A175" t="s">
        <v>2248</v>
      </c>
      <c r="B175" t="s">
        <v>16</v>
      </c>
      <c r="C175" t="s">
        <v>2867</v>
      </c>
      <c r="D175" t="s">
        <v>2868</v>
      </c>
      <c r="E175" t="s">
        <v>2865</v>
      </c>
      <c r="F175" t="s">
        <v>2869</v>
      </c>
      <c r="G175" t="s">
        <v>2870</v>
      </c>
      <c r="H175" t="s">
        <v>22</v>
      </c>
      <c r="I175" t="s">
        <v>809</v>
      </c>
    </row>
    <row r="176" spans="1:9" ht="11.25" customHeight="1">
      <c r="A176" t="s">
        <v>2248</v>
      </c>
      <c r="B176" t="s">
        <v>16</v>
      </c>
      <c r="C176" t="s">
        <v>2871</v>
      </c>
      <c r="D176" t="s">
        <v>2872</v>
      </c>
      <c r="E176" t="s">
        <v>2873</v>
      </c>
      <c r="F176" t="s">
        <v>2320</v>
      </c>
      <c r="G176" t="s">
        <v>22</v>
      </c>
      <c r="H176" t="s">
        <v>22</v>
      </c>
      <c r="I176" t="s">
        <v>809</v>
      </c>
    </row>
    <row r="177" spans="1:9" ht="11.25" customHeight="1">
      <c r="A177" t="s">
        <v>2248</v>
      </c>
      <c r="B177" t="s">
        <v>16</v>
      </c>
      <c r="C177" t="s">
        <v>2874</v>
      </c>
      <c r="D177" t="s">
        <v>2875</v>
      </c>
      <c r="E177" t="s">
        <v>2876</v>
      </c>
      <c r="F177" t="s">
        <v>2258</v>
      </c>
      <c r="G177" t="s">
        <v>22</v>
      </c>
      <c r="H177" t="s">
        <v>22</v>
      </c>
      <c r="I177" t="s">
        <v>809</v>
      </c>
    </row>
    <row r="178" spans="1:9" ht="11.25" customHeight="1">
      <c r="A178" t="s">
        <v>2248</v>
      </c>
      <c r="B178" t="s">
        <v>16</v>
      </c>
      <c r="C178" t="s">
        <v>2877</v>
      </c>
      <c r="D178" t="s">
        <v>2878</v>
      </c>
      <c r="E178" t="s">
        <v>2879</v>
      </c>
      <c r="F178" t="s">
        <v>2880</v>
      </c>
      <c r="G178" t="s">
        <v>2881</v>
      </c>
      <c r="H178" t="s">
        <v>22</v>
      </c>
      <c r="I178" t="s">
        <v>809</v>
      </c>
    </row>
    <row r="179" spans="1:9" ht="11.25" customHeight="1">
      <c r="A179" t="s">
        <v>2248</v>
      </c>
      <c r="B179" t="s">
        <v>16</v>
      </c>
      <c r="C179" t="s">
        <v>2882</v>
      </c>
      <c r="D179" t="s">
        <v>2883</v>
      </c>
      <c r="E179" t="s">
        <v>2884</v>
      </c>
      <c r="F179" t="s">
        <v>2290</v>
      </c>
      <c r="G179" t="s">
        <v>22</v>
      </c>
      <c r="H179" t="s">
        <v>22</v>
      </c>
      <c r="I179" t="s">
        <v>809</v>
      </c>
    </row>
    <row r="180" spans="1:9" ht="11.25" customHeight="1">
      <c r="A180" t="s">
        <v>2248</v>
      </c>
      <c r="B180" t="s">
        <v>16</v>
      </c>
      <c r="C180" t="s">
        <v>2885</v>
      </c>
      <c r="D180" t="s">
        <v>2886</v>
      </c>
      <c r="E180" t="s">
        <v>2887</v>
      </c>
      <c r="F180" t="s">
        <v>2335</v>
      </c>
      <c r="G180" t="s">
        <v>22</v>
      </c>
      <c r="H180" t="s">
        <v>22</v>
      </c>
      <c r="I180" t="s">
        <v>809</v>
      </c>
    </row>
    <row r="181" spans="1:9" ht="11.25" customHeight="1">
      <c r="A181" t="s">
        <v>2248</v>
      </c>
      <c r="B181" t="s">
        <v>16</v>
      </c>
      <c r="C181" t="s">
        <v>2888</v>
      </c>
      <c r="D181" t="s">
        <v>2889</v>
      </c>
      <c r="E181" t="s">
        <v>2890</v>
      </c>
      <c r="F181" t="s">
        <v>2258</v>
      </c>
      <c r="G181" t="s">
        <v>22</v>
      </c>
      <c r="H181" t="s">
        <v>22</v>
      </c>
      <c r="I181" t="s">
        <v>809</v>
      </c>
    </row>
    <row r="182" spans="1:9" ht="11.25" customHeight="1">
      <c r="A182" t="s">
        <v>2248</v>
      </c>
      <c r="B182" t="s">
        <v>16</v>
      </c>
      <c r="C182" t="s">
        <v>2891</v>
      </c>
      <c r="D182" t="s">
        <v>2892</v>
      </c>
      <c r="E182" t="s">
        <v>2893</v>
      </c>
      <c r="F182" t="s">
        <v>2894</v>
      </c>
      <c r="G182" t="s">
        <v>2895</v>
      </c>
      <c r="H182" t="s">
        <v>22</v>
      </c>
      <c r="I182" t="s">
        <v>809</v>
      </c>
    </row>
    <row r="183" spans="1:9" ht="11.25" customHeight="1">
      <c r="A183" t="s">
        <v>2248</v>
      </c>
      <c r="B183" t="s">
        <v>16</v>
      </c>
      <c r="C183" t="s">
        <v>2896</v>
      </c>
      <c r="D183" t="s">
        <v>2897</v>
      </c>
      <c r="E183" t="s">
        <v>2898</v>
      </c>
      <c r="F183" t="s">
        <v>2273</v>
      </c>
      <c r="G183" t="s">
        <v>2899</v>
      </c>
      <c r="H183" t="s">
        <v>22</v>
      </c>
      <c r="I183" t="s">
        <v>809</v>
      </c>
    </row>
    <row r="184" spans="1:9" ht="11.25" customHeight="1">
      <c r="A184" t="s">
        <v>2248</v>
      </c>
      <c r="B184" t="s">
        <v>16</v>
      </c>
      <c r="C184" t="s">
        <v>2900</v>
      </c>
      <c r="D184" t="s">
        <v>2901</v>
      </c>
      <c r="E184" t="s">
        <v>2902</v>
      </c>
      <c r="F184" t="s">
        <v>2903</v>
      </c>
      <c r="G184" t="s">
        <v>22</v>
      </c>
      <c r="H184" t="s">
        <v>22</v>
      </c>
      <c r="I184" t="s">
        <v>809</v>
      </c>
    </row>
    <row r="185" spans="1:9" ht="11.25" customHeight="1">
      <c r="A185" t="s">
        <v>2248</v>
      </c>
      <c r="B185" t="s">
        <v>16</v>
      </c>
      <c r="C185" t="s">
        <v>2904</v>
      </c>
      <c r="D185" t="s">
        <v>2905</v>
      </c>
      <c r="E185" t="s">
        <v>2906</v>
      </c>
      <c r="F185" t="s">
        <v>2907</v>
      </c>
      <c r="G185" t="s">
        <v>22</v>
      </c>
      <c r="H185" t="s">
        <v>22</v>
      </c>
      <c r="I185" t="s">
        <v>809</v>
      </c>
    </row>
    <row r="186" spans="1:9" ht="11.25" customHeight="1">
      <c r="A186" t="s">
        <v>2248</v>
      </c>
      <c r="B186" t="s">
        <v>16</v>
      </c>
      <c r="C186" t="s">
        <v>2908</v>
      </c>
      <c r="D186" t="s">
        <v>2909</v>
      </c>
      <c r="E186" t="s">
        <v>2910</v>
      </c>
      <c r="F186" t="s">
        <v>2903</v>
      </c>
      <c r="G186" t="s">
        <v>2911</v>
      </c>
      <c r="H186" t="s">
        <v>22</v>
      </c>
      <c r="I186" t="s">
        <v>809</v>
      </c>
    </row>
    <row r="187" spans="1:9" ht="11.25" customHeight="1">
      <c r="A187" t="s">
        <v>2248</v>
      </c>
      <c r="B187" t="s">
        <v>16</v>
      </c>
      <c r="C187" t="s">
        <v>2912</v>
      </c>
      <c r="D187" t="s">
        <v>2913</v>
      </c>
      <c r="E187" t="s">
        <v>2914</v>
      </c>
      <c r="F187" t="s">
        <v>2915</v>
      </c>
      <c r="G187" t="s">
        <v>2916</v>
      </c>
      <c r="H187" t="s">
        <v>22</v>
      </c>
      <c r="I187" t="s">
        <v>809</v>
      </c>
    </row>
    <row r="188" spans="1:9" ht="11.25" customHeight="1">
      <c r="A188" t="s">
        <v>2248</v>
      </c>
      <c r="B188" t="s">
        <v>16</v>
      </c>
      <c r="C188" t="s">
        <v>2260</v>
      </c>
      <c r="D188" t="s">
        <v>2261</v>
      </c>
      <c r="E188" t="s">
        <v>2262</v>
      </c>
      <c r="F188" t="s">
        <v>2263</v>
      </c>
      <c r="G188" t="s">
        <v>2264</v>
      </c>
      <c r="H188" t="s">
        <v>22</v>
      </c>
      <c r="I188" t="s">
        <v>895</v>
      </c>
    </row>
    <row r="189" spans="1:9" ht="11.25" customHeight="1">
      <c r="A189" t="s">
        <v>2248</v>
      </c>
      <c r="B189" t="s">
        <v>16</v>
      </c>
      <c r="C189" t="s">
        <v>2283</v>
      </c>
      <c r="D189" t="s">
        <v>2284</v>
      </c>
      <c r="E189" t="s">
        <v>2285</v>
      </c>
      <c r="F189" t="s">
        <v>2286</v>
      </c>
      <c r="G189" t="s">
        <v>22</v>
      </c>
      <c r="H189" t="s">
        <v>22</v>
      </c>
      <c r="I189" t="s">
        <v>895</v>
      </c>
    </row>
    <row r="190" spans="1:9" ht="11.25" customHeight="1">
      <c r="A190" t="s">
        <v>2248</v>
      </c>
      <c r="B190" t="s">
        <v>16</v>
      </c>
      <c r="C190" t="s">
        <v>2291</v>
      </c>
      <c r="D190" t="s">
        <v>2292</v>
      </c>
      <c r="E190" t="s">
        <v>2293</v>
      </c>
      <c r="F190" t="s">
        <v>2258</v>
      </c>
      <c r="G190" t="s">
        <v>2294</v>
      </c>
      <c r="H190" t="s">
        <v>22</v>
      </c>
      <c r="I190" t="s">
        <v>895</v>
      </c>
    </row>
    <row r="191" spans="1:9" ht="11.25" customHeight="1">
      <c r="A191" t="s">
        <v>2248</v>
      </c>
      <c r="B191" t="s">
        <v>16</v>
      </c>
      <c r="C191" t="s">
        <v>2295</v>
      </c>
      <c r="D191" t="s">
        <v>2296</v>
      </c>
      <c r="E191" t="s">
        <v>2297</v>
      </c>
      <c r="F191" t="s">
        <v>2278</v>
      </c>
      <c r="G191" t="s">
        <v>22</v>
      </c>
      <c r="H191" t="s">
        <v>2298</v>
      </c>
      <c r="I191" t="s">
        <v>895</v>
      </c>
    </row>
    <row r="192" spans="1:9" ht="11.25" customHeight="1">
      <c r="A192" t="s">
        <v>2248</v>
      </c>
      <c r="B192" t="s">
        <v>16</v>
      </c>
      <c r="C192" t="s">
        <v>2299</v>
      </c>
      <c r="D192" t="s">
        <v>2300</v>
      </c>
      <c r="E192" t="s">
        <v>2301</v>
      </c>
      <c r="F192" t="s">
        <v>2258</v>
      </c>
      <c r="G192" t="s">
        <v>22</v>
      </c>
      <c r="H192" t="s">
        <v>22</v>
      </c>
      <c r="I192" t="s">
        <v>895</v>
      </c>
    </row>
    <row r="193" spans="1:9" ht="11.25" customHeight="1">
      <c r="A193" t="s">
        <v>2248</v>
      </c>
      <c r="B193" t="s">
        <v>16</v>
      </c>
      <c r="C193" t="s">
        <v>2348</v>
      </c>
      <c r="D193" t="s">
        <v>2349</v>
      </c>
      <c r="E193" t="s">
        <v>2350</v>
      </c>
      <c r="F193" t="s">
        <v>2351</v>
      </c>
      <c r="G193" t="s">
        <v>22</v>
      </c>
      <c r="H193" t="s">
        <v>22</v>
      </c>
      <c r="I193" t="s">
        <v>895</v>
      </c>
    </row>
    <row r="194" spans="1:9" ht="11.25" customHeight="1">
      <c r="A194" t="s">
        <v>2248</v>
      </c>
      <c r="B194" t="s">
        <v>16</v>
      </c>
      <c r="C194" t="s">
        <v>2353</v>
      </c>
      <c r="D194" t="s">
        <v>2354</v>
      </c>
      <c r="E194" t="s">
        <v>2355</v>
      </c>
      <c r="F194" t="s">
        <v>2356</v>
      </c>
      <c r="G194" t="s">
        <v>22</v>
      </c>
      <c r="H194" t="s">
        <v>22</v>
      </c>
      <c r="I194" t="s">
        <v>895</v>
      </c>
    </row>
    <row r="195" spans="1:9" ht="11.25" customHeight="1">
      <c r="A195" t="s">
        <v>2248</v>
      </c>
      <c r="B195" t="s">
        <v>16</v>
      </c>
      <c r="C195" t="s">
        <v>2360</v>
      </c>
      <c r="D195" t="s">
        <v>2361</v>
      </c>
      <c r="E195" t="s">
        <v>2362</v>
      </c>
      <c r="F195" t="s">
        <v>2363</v>
      </c>
      <c r="G195" t="s">
        <v>22</v>
      </c>
      <c r="H195" t="s">
        <v>22</v>
      </c>
      <c r="I195" t="s">
        <v>895</v>
      </c>
    </row>
    <row r="196" spans="1:9" ht="11.25" customHeight="1">
      <c r="A196" t="s">
        <v>2248</v>
      </c>
      <c r="B196" t="s">
        <v>16</v>
      </c>
      <c r="C196" t="s">
        <v>2381</v>
      </c>
      <c r="D196" t="s">
        <v>2382</v>
      </c>
      <c r="E196" t="s">
        <v>2383</v>
      </c>
      <c r="F196" t="s">
        <v>2384</v>
      </c>
      <c r="G196" t="s">
        <v>22</v>
      </c>
      <c r="H196" t="s">
        <v>22</v>
      </c>
      <c r="I196" t="s">
        <v>895</v>
      </c>
    </row>
    <row r="197" spans="1:9" ht="11.25" customHeight="1">
      <c r="A197" t="s">
        <v>2248</v>
      </c>
      <c r="B197" t="s">
        <v>16</v>
      </c>
      <c r="C197" t="s">
        <v>2393</v>
      </c>
      <c r="D197" t="s">
        <v>2394</v>
      </c>
      <c r="E197" t="s">
        <v>2395</v>
      </c>
      <c r="F197" t="s">
        <v>2396</v>
      </c>
      <c r="G197" t="s">
        <v>22</v>
      </c>
      <c r="H197" t="s">
        <v>22</v>
      </c>
      <c r="I197" t="s">
        <v>895</v>
      </c>
    </row>
    <row r="198" spans="1:9" ht="11.25" customHeight="1">
      <c r="A198" t="s">
        <v>2248</v>
      </c>
      <c r="B198" t="s">
        <v>16</v>
      </c>
      <c r="C198" t="s">
        <v>2397</v>
      </c>
      <c r="D198" t="s">
        <v>2398</v>
      </c>
      <c r="E198" t="s">
        <v>2399</v>
      </c>
      <c r="F198" t="s">
        <v>2258</v>
      </c>
      <c r="G198" t="s">
        <v>22</v>
      </c>
      <c r="H198" t="s">
        <v>22</v>
      </c>
      <c r="I198" t="s">
        <v>895</v>
      </c>
    </row>
    <row r="199" spans="1:9" ht="11.25" customHeight="1">
      <c r="A199" t="s">
        <v>2248</v>
      </c>
      <c r="B199" t="s">
        <v>16</v>
      </c>
      <c r="C199" t="s">
        <v>2410</v>
      </c>
      <c r="D199" t="s">
        <v>2411</v>
      </c>
      <c r="E199" t="s">
        <v>2412</v>
      </c>
      <c r="F199" t="s">
        <v>2263</v>
      </c>
      <c r="G199" t="s">
        <v>22</v>
      </c>
      <c r="H199" t="s">
        <v>22</v>
      </c>
      <c r="I199" t="s">
        <v>895</v>
      </c>
    </row>
    <row r="200" spans="1:9" ht="11.25" customHeight="1">
      <c r="A200" t="s">
        <v>2248</v>
      </c>
      <c r="B200" t="s">
        <v>16</v>
      </c>
      <c r="C200" t="s">
        <v>2413</v>
      </c>
      <c r="D200" t="s">
        <v>2411</v>
      </c>
      <c r="E200" t="s">
        <v>2414</v>
      </c>
      <c r="F200" t="s">
        <v>2263</v>
      </c>
      <c r="G200" t="s">
        <v>22</v>
      </c>
      <c r="H200" t="s">
        <v>22</v>
      </c>
      <c r="I200" t="s">
        <v>895</v>
      </c>
    </row>
    <row r="201" spans="1:9" ht="11.25" customHeight="1">
      <c r="A201" t="s">
        <v>2248</v>
      </c>
      <c r="B201" t="s">
        <v>16</v>
      </c>
      <c r="C201" t="s">
        <v>2415</v>
      </c>
      <c r="D201" t="s">
        <v>2416</v>
      </c>
      <c r="E201" t="s">
        <v>2417</v>
      </c>
      <c r="F201" t="s">
        <v>2418</v>
      </c>
      <c r="G201" t="s">
        <v>22</v>
      </c>
      <c r="H201" t="s">
        <v>22</v>
      </c>
      <c r="I201" t="s">
        <v>895</v>
      </c>
    </row>
    <row r="202" spans="1:9" ht="11.25" customHeight="1">
      <c r="A202" t="s">
        <v>2248</v>
      </c>
      <c r="B202" t="s">
        <v>16</v>
      </c>
      <c r="C202" t="s">
        <v>2419</v>
      </c>
      <c r="D202" t="s">
        <v>2420</v>
      </c>
      <c r="E202" t="s">
        <v>2421</v>
      </c>
      <c r="F202" t="s">
        <v>2258</v>
      </c>
      <c r="G202" t="s">
        <v>22</v>
      </c>
      <c r="H202" t="s">
        <v>22</v>
      </c>
      <c r="I202" t="s">
        <v>895</v>
      </c>
    </row>
    <row r="203" spans="1:9" ht="11.25" customHeight="1">
      <c r="A203" t="s">
        <v>2248</v>
      </c>
      <c r="B203" t="s">
        <v>16</v>
      </c>
      <c r="C203" t="s">
        <v>2422</v>
      </c>
      <c r="D203" t="s">
        <v>2423</v>
      </c>
      <c r="E203" t="s">
        <v>2424</v>
      </c>
      <c r="F203" t="s">
        <v>2258</v>
      </c>
      <c r="G203" t="s">
        <v>22</v>
      </c>
      <c r="H203" t="s">
        <v>22</v>
      </c>
      <c r="I203" t="s">
        <v>895</v>
      </c>
    </row>
    <row r="204" spans="1:9" ht="11.25" customHeight="1">
      <c r="A204" t="s">
        <v>2248</v>
      </c>
      <c r="B204" t="s">
        <v>16</v>
      </c>
      <c r="C204" t="s">
        <v>2428</v>
      </c>
      <c r="D204" t="s">
        <v>2429</v>
      </c>
      <c r="E204" t="s">
        <v>2430</v>
      </c>
      <c r="F204" t="s">
        <v>2258</v>
      </c>
      <c r="G204" t="s">
        <v>22</v>
      </c>
      <c r="H204" t="s">
        <v>22</v>
      </c>
      <c r="I204" t="s">
        <v>895</v>
      </c>
    </row>
    <row r="205" spans="1:9" ht="11.25" customHeight="1">
      <c r="A205" t="s">
        <v>2248</v>
      </c>
      <c r="B205" t="s">
        <v>16</v>
      </c>
      <c r="C205" t="s">
        <v>22</v>
      </c>
      <c r="D205" t="s">
        <v>2431</v>
      </c>
      <c r="E205" t="s">
        <v>2432</v>
      </c>
      <c r="F205" t="s">
        <v>2433</v>
      </c>
      <c r="G205" t="s">
        <v>22</v>
      </c>
      <c r="H205" t="s">
        <v>22</v>
      </c>
      <c r="I205" t="s">
        <v>895</v>
      </c>
    </row>
    <row r="206" spans="1:9" ht="11.25" customHeight="1">
      <c r="A206" t="s">
        <v>2248</v>
      </c>
      <c r="B206" t="s">
        <v>16</v>
      </c>
      <c r="C206" t="s">
        <v>2434</v>
      </c>
      <c r="D206" t="s">
        <v>2435</v>
      </c>
      <c r="E206" t="s">
        <v>2436</v>
      </c>
      <c r="F206" t="s">
        <v>2437</v>
      </c>
      <c r="G206" t="s">
        <v>22</v>
      </c>
      <c r="H206" t="s">
        <v>22</v>
      </c>
      <c r="I206" t="s">
        <v>895</v>
      </c>
    </row>
    <row r="207" spans="1:9" ht="11.25" customHeight="1">
      <c r="A207" t="s">
        <v>2248</v>
      </c>
      <c r="B207" t="s">
        <v>16</v>
      </c>
      <c r="C207" t="s">
        <v>2441</v>
      </c>
      <c r="D207" t="s">
        <v>2442</v>
      </c>
      <c r="E207" t="s">
        <v>2443</v>
      </c>
      <c r="F207" t="s">
        <v>2263</v>
      </c>
      <c r="G207" t="s">
        <v>22</v>
      </c>
      <c r="H207" t="s">
        <v>22</v>
      </c>
      <c r="I207" t="s">
        <v>895</v>
      </c>
    </row>
    <row r="208" spans="1:9" ht="11.25" customHeight="1">
      <c r="A208" t="s">
        <v>2248</v>
      </c>
      <c r="B208" t="s">
        <v>16</v>
      </c>
      <c r="C208" t="s">
        <v>2444</v>
      </c>
      <c r="D208" t="s">
        <v>2445</v>
      </c>
      <c r="E208" t="s">
        <v>2446</v>
      </c>
      <c r="F208" t="s">
        <v>2258</v>
      </c>
      <c r="G208" t="s">
        <v>22</v>
      </c>
      <c r="H208" t="s">
        <v>22</v>
      </c>
      <c r="I208" t="s">
        <v>895</v>
      </c>
    </row>
    <row r="209" spans="1:9" ht="11.25" customHeight="1">
      <c r="A209" t="s">
        <v>2248</v>
      </c>
      <c r="B209" t="s">
        <v>16</v>
      </c>
      <c r="C209" t="s">
        <v>2457</v>
      </c>
      <c r="D209" t="s">
        <v>2458</v>
      </c>
      <c r="E209" t="s">
        <v>2459</v>
      </c>
      <c r="F209" t="s">
        <v>2343</v>
      </c>
      <c r="G209" t="s">
        <v>22</v>
      </c>
      <c r="H209" t="s">
        <v>22</v>
      </c>
      <c r="I209" t="s">
        <v>895</v>
      </c>
    </row>
    <row r="210" spans="1:9" ht="11.25" customHeight="1">
      <c r="A210" t="s">
        <v>2248</v>
      </c>
      <c r="B210" t="s">
        <v>16</v>
      </c>
      <c r="C210" t="s">
        <v>2463</v>
      </c>
      <c r="D210" t="s">
        <v>2464</v>
      </c>
      <c r="E210" t="s">
        <v>2465</v>
      </c>
      <c r="F210" t="s">
        <v>2466</v>
      </c>
      <c r="G210" t="s">
        <v>2467</v>
      </c>
      <c r="H210" t="s">
        <v>22</v>
      </c>
      <c r="I210" t="s">
        <v>895</v>
      </c>
    </row>
    <row r="211" spans="1:9" ht="11.25" customHeight="1">
      <c r="A211" t="s">
        <v>2248</v>
      </c>
      <c r="B211" t="s">
        <v>16</v>
      </c>
      <c r="C211" t="s">
        <v>2472</v>
      </c>
      <c r="D211" t="s">
        <v>2473</v>
      </c>
      <c r="E211" t="s">
        <v>2474</v>
      </c>
      <c r="F211" t="s">
        <v>576</v>
      </c>
      <c r="G211" t="s">
        <v>2475</v>
      </c>
      <c r="H211" t="s">
        <v>22</v>
      </c>
      <c r="I211" t="s">
        <v>895</v>
      </c>
    </row>
    <row r="212" spans="1:9" ht="11.25" customHeight="1">
      <c r="A212" t="s">
        <v>2248</v>
      </c>
      <c r="B212" t="s">
        <v>16</v>
      </c>
      <c r="C212" t="s">
        <v>2476</v>
      </c>
      <c r="D212" t="s">
        <v>2477</v>
      </c>
      <c r="E212" t="s">
        <v>2478</v>
      </c>
      <c r="F212" t="s">
        <v>2263</v>
      </c>
      <c r="G212" t="s">
        <v>22</v>
      </c>
      <c r="H212" t="s">
        <v>22</v>
      </c>
      <c r="I212" t="s">
        <v>895</v>
      </c>
    </row>
    <row r="213" spans="1:9" ht="11.25" customHeight="1">
      <c r="A213" t="s">
        <v>2248</v>
      </c>
      <c r="B213" t="s">
        <v>16</v>
      </c>
      <c r="C213" t="s">
        <v>2499</v>
      </c>
      <c r="D213" t="s">
        <v>2500</v>
      </c>
      <c r="E213" t="s">
        <v>2501</v>
      </c>
      <c r="F213" t="s">
        <v>2502</v>
      </c>
      <c r="G213" t="s">
        <v>22</v>
      </c>
      <c r="H213" t="s">
        <v>22</v>
      </c>
      <c r="I213" t="s">
        <v>895</v>
      </c>
    </row>
    <row r="214" spans="1:9" ht="11.25" customHeight="1">
      <c r="A214" t="s">
        <v>2248</v>
      </c>
      <c r="B214" t="s">
        <v>16</v>
      </c>
      <c r="C214" t="s">
        <v>2516</v>
      </c>
      <c r="D214" t="s">
        <v>2517</v>
      </c>
      <c r="E214" t="s">
        <v>2518</v>
      </c>
      <c r="F214" t="s">
        <v>2418</v>
      </c>
      <c r="G214" t="s">
        <v>22</v>
      </c>
      <c r="H214" t="s">
        <v>22</v>
      </c>
      <c r="I214" t="s">
        <v>895</v>
      </c>
    </row>
    <row r="215" spans="1:9" ht="11.25" customHeight="1">
      <c r="A215" t="s">
        <v>2248</v>
      </c>
      <c r="B215" t="s">
        <v>16</v>
      </c>
      <c r="C215" t="s">
        <v>2566</v>
      </c>
      <c r="D215" t="s">
        <v>2567</v>
      </c>
      <c r="E215" t="s">
        <v>2568</v>
      </c>
      <c r="F215" t="s">
        <v>2363</v>
      </c>
      <c r="G215" t="s">
        <v>22</v>
      </c>
      <c r="H215" t="s">
        <v>22</v>
      </c>
      <c r="I215" t="s">
        <v>895</v>
      </c>
    </row>
    <row r="216" spans="1:9" ht="11.25" customHeight="1">
      <c r="A216" t="s">
        <v>2248</v>
      </c>
      <c r="B216" t="s">
        <v>16</v>
      </c>
      <c r="C216" t="s">
        <v>2569</v>
      </c>
      <c r="D216" t="s">
        <v>2570</v>
      </c>
      <c r="E216" t="s">
        <v>2571</v>
      </c>
      <c r="F216" t="s">
        <v>2258</v>
      </c>
      <c r="G216" t="s">
        <v>2572</v>
      </c>
      <c r="H216" t="s">
        <v>22</v>
      </c>
      <c r="I216" t="s">
        <v>895</v>
      </c>
    </row>
    <row r="217" spans="1:9" ht="11.25" customHeight="1">
      <c r="A217" t="s">
        <v>2248</v>
      </c>
      <c r="B217" t="s">
        <v>16</v>
      </c>
      <c r="C217" t="s">
        <v>2579</v>
      </c>
      <c r="D217" t="s">
        <v>2580</v>
      </c>
      <c r="E217" t="s">
        <v>2581</v>
      </c>
      <c r="F217" t="s">
        <v>2356</v>
      </c>
      <c r="G217" t="s">
        <v>22</v>
      </c>
      <c r="H217" t="s">
        <v>22</v>
      </c>
      <c r="I217" t="s">
        <v>895</v>
      </c>
    </row>
    <row r="218" spans="1:9" ht="11.25" customHeight="1">
      <c r="A218" t="s">
        <v>2248</v>
      </c>
      <c r="B218" t="s">
        <v>16</v>
      </c>
      <c r="C218" t="s">
        <v>2582</v>
      </c>
      <c r="D218" t="s">
        <v>2583</v>
      </c>
      <c r="E218" t="s">
        <v>2584</v>
      </c>
      <c r="F218" t="s">
        <v>2585</v>
      </c>
      <c r="G218" t="s">
        <v>22</v>
      </c>
      <c r="H218" t="s">
        <v>22</v>
      </c>
      <c r="I218" t="s">
        <v>895</v>
      </c>
    </row>
    <row r="219" spans="1:9" ht="11.25" customHeight="1">
      <c r="A219" t="s">
        <v>2248</v>
      </c>
      <c r="B219" t="s">
        <v>16</v>
      </c>
      <c r="C219" t="s">
        <v>2600</v>
      </c>
      <c r="D219" t="s">
        <v>2601</v>
      </c>
      <c r="E219" t="s">
        <v>2602</v>
      </c>
      <c r="F219" t="s">
        <v>2258</v>
      </c>
      <c r="G219" t="s">
        <v>2603</v>
      </c>
      <c r="H219" t="s">
        <v>22</v>
      </c>
      <c r="I219" t="s">
        <v>895</v>
      </c>
    </row>
    <row r="220" spans="1:9" ht="11.25" customHeight="1">
      <c r="A220" t="s">
        <v>2248</v>
      </c>
      <c r="B220" t="s">
        <v>16</v>
      </c>
      <c r="C220" t="s">
        <v>2604</v>
      </c>
      <c r="D220" t="s">
        <v>2605</v>
      </c>
      <c r="E220" t="s">
        <v>2606</v>
      </c>
      <c r="F220" t="s">
        <v>2268</v>
      </c>
      <c r="G220" t="s">
        <v>22</v>
      </c>
      <c r="H220" t="s">
        <v>22</v>
      </c>
      <c r="I220" t="s">
        <v>895</v>
      </c>
    </row>
    <row r="221" spans="1:9" ht="11.25" customHeight="1">
      <c r="A221" t="s">
        <v>2248</v>
      </c>
      <c r="B221" t="s">
        <v>16</v>
      </c>
      <c r="C221" t="s">
        <v>2607</v>
      </c>
      <c r="D221" t="s">
        <v>2608</v>
      </c>
      <c r="E221" t="s">
        <v>2609</v>
      </c>
      <c r="F221" t="s">
        <v>2511</v>
      </c>
      <c r="G221" t="s">
        <v>22</v>
      </c>
      <c r="H221" t="s">
        <v>22</v>
      </c>
      <c r="I221" t="s">
        <v>895</v>
      </c>
    </row>
    <row r="222" spans="1:9" ht="11.25" customHeight="1">
      <c r="A222" t="s">
        <v>2248</v>
      </c>
      <c r="B222" t="s">
        <v>16</v>
      </c>
      <c r="C222" t="s">
        <v>2610</v>
      </c>
      <c r="D222" t="s">
        <v>2611</v>
      </c>
      <c r="E222" t="s">
        <v>2612</v>
      </c>
      <c r="F222" t="s">
        <v>2433</v>
      </c>
      <c r="G222" t="s">
        <v>22</v>
      </c>
      <c r="H222" t="s">
        <v>22</v>
      </c>
      <c r="I222" t="s">
        <v>895</v>
      </c>
    </row>
    <row r="223" spans="1:9" ht="11.25" customHeight="1">
      <c r="A223" t="s">
        <v>2248</v>
      </c>
      <c r="B223" t="s">
        <v>16</v>
      </c>
      <c r="C223" t="s">
        <v>2616</v>
      </c>
      <c r="D223" t="s">
        <v>2617</v>
      </c>
      <c r="E223" t="s">
        <v>2618</v>
      </c>
      <c r="F223" t="s">
        <v>2619</v>
      </c>
      <c r="G223" t="s">
        <v>2620</v>
      </c>
      <c r="H223" t="s">
        <v>22</v>
      </c>
      <c r="I223" t="s">
        <v>895</v>
      </c>
    </row>
    <row r="224" spans="1:9" ht="11.25" customHeight="1">
      <c r="A224" t="s">
        <v>2248</v>
      </c>
      <c r="B224" t="s">
        <v>16</v>
      </c>
      <c r="C224" t="s">
        <v>2628</v>
      </c>
      <c r="D224" t="s">
        <v>2629</v>
      </c>
      <c r="E224" t="s">
        <v>2630</v>
      </c>
      <c r="F224" t="s">
        <v>2631</v>
      </c>
      <c r="G224" t="s">
        <v>22</v>
      </c>
      <c r="H224" t="s">
        <v>22</v>
      </c>
      <c r="I224" t="s">
        <v>895</v>
      </c>
    </row>
    <row r="225" spans="1:9" ht="11.25" customHeight="1">
      <c r="A225" t="s">
        <v>2248</v>
      </c>
      <c r="B225" t="s">
        <v>16</v>
      </c>
      <c r="C225" t="s">
        <v>2641</v>
      </c>
      <c r="D225" t="s">
        <v>2642</v>
      </c>
      <c r="E225" t="s">
        <v>2643</v>
      </c>
      <c r="F225" t="s">
        <v>2455</v>
      </c>
      <c r="G225" t="s">
        <v>22</v>
      </c>
      <c r="H225" t="s">
        <v>22</v>
      </c>
      <c r="I225" t="s">
        <v>895</v>
      </c>
    </row>
    <row r="226" spans="1:9" ht="11.25" customHeight="1">
      <c r="A226" t="s">
        <v>2248</v>
      </c>
      <c r="B226" t="s">
        <v>16</v>
      </c>
      <c r="C226" t="s">
        <v>2644</v>
      </c>
      <c r="D226" t="s">
        <v>2645</v>
      </c>
      <c r="E226" t="s">
        <v>2646</v>
      </c>
      <c r="F226" t="s">
        <v>2631</v>
      </c>
      <c r="G226" t="s">
        <v>2647</v>
      </c>
      <c r="H226" t="s">
        <v>22</v>
      </c>
      <c r="I226" t="s">
        <v>895</v>
      </c>
    </row>
    <row r="227" spans="1:9" ht="11.25" customHeight="1">
      <c r="A227" t="s">
        <v>2248</v>
      </c>
      <c r="B227" t="s">
        <v>16</v>
      </c>
      <c r="C227" t="s">
        <v>2651</v>
      </c>
      <c r="D227" t="s">
        <v>2652</v>
      </c>
      <c r="E227" t="s">
        <v>2653</v>
      </c>
      <c r="F227" t="s">
        <v>2437</v>
      </c>
      <c r="G227" t="s">
        <v>22</v>
      </c>
      <c r="H227" t="s">
        <v>22</v>
      </c>
      <c r="I227" t="s">
        <v>895</v>
      </c>
    </row>
    <row r="228" spans="1:9" ht="11.25" customHeight="1">
      <c r="A228" t="s">
        <v>2248</v>
      </c>
      <c r="B228" t="s">
        <v>16</v>
      </c>
      <c r="C228" t="s">
        <v>2654</v>
      </c>
      <c r="D228" t="s">
        <v>2655</v>
      </c>
      <c r="E228" t="s">
        <v>2656</v>
      </c>
      <c r="F228" t="s">
        <v>2356</v>
      </c>
      <c r="G228" t="s">
        <v>22</v>
      </c>
      <c r="H228" t="s">
        <v>22</v>
      </c>
      <c r="I228" t="s">
        <v>895</v>
      </c>
    </row>
    <row r="229" spans="1:9" ht="11.25" customHeight="1">
      <c r="A229" t="s">
        <v>2248</v>
      </c>
      <c r="B229" t="s">
        <v>16</v>
      </c>
      <c r="C229" t="s">
        <v>2657</v>
      </c>
      <c r="D229" t="s">
        <v>2658</v>
      </c>
      <c r="E229" t="s">
        <v>2659</v>
      </c>
      <c r="F229" t="s">
        <v>2418</v>
      </c>
      <c r="G229" t="s">
        <v>22</v>
      </c>
      <c r="H229" t="s">
        <v>22</v>
      </c>
      <c r="I229" t="s">
        <v>895</v>
      </c>
    </row>
    <row r="230" spans="1:9" ht="11.25" customHeight="1">
      <c r="A230" t="s">
        <v>2248</v>
      </c>
      <c r="B230" t="s">
        <v>16</v>
      </c>
      <c r="C230" t="s">
        <v>2663</v>
      </c>
      <c r="D230" t="s">
        <v>2664</v>
      </c>
      <c r="E230" t="s">
        <v>2665</v>
      </c>
      <c r="F230" t="s">
        <v>2666</v>
      </c>
      <c r="G230" t="s">
        <v>2667</v>
      </c>
      <c r="H230" t="s">
        <v>22</v>
      </c>
      <c r="I230" t="s">
        <v>895</v>
      </c>
    </row>
    <row r="231" spans="1:9" ht="11.25" customHeight="1">
      <c r="A231" t="s">
        <v>2248</v>
      </c>
      <c r="B231" t="s">
        <v>16</v>
      </c>
      <c r="C231" t="s">
        <v>2668</v>
      </c>
      <c r="D231" t="s">
        <v>2669</v>
      </c>
      <c r="E231" t="s">
        <v>2670</v>
      </c>
      <c r="F231" t="s">
        <v>2320</v>
      </c>
      <c r="G231" t="s">
        <v>22</v>
      </c>
      <c r="H231" t="s">
        <v>22</v>
      </c>
      <c r="I231" t="s">
        <v>895</v>
      </c>
    </row>
    <row r="232" spans="1:9" ht="11.25" customHeight="1">
      <c r="A232" t="s">
        <v>2248</v>
      </c>
      <c r="B232" t="s">
        <v>16</v>
      </c>
      <c r="C232" t="s">
        <v>2674</v>
      </c>
      <c r="D232" t="s">
        <v>2675</v>
      </c>
      <c r="E232" t="s">
        <v>2676</v>
      </c>
      <c r="F232" t="s">
        <v>2596</v>
      </c>
      <c r="G232" t="s">
        <v>22</v>
      </c>
      <c r="H232" t="s">
        <v>22</v>
      </c>
      <c r="I232" t="s">
        <v>895</v>
      </c>
    </row>
    <row r="233" spans="1:9" ht="11.25" customHeight="1">
      <c r="A233" t="s">
        <v>2248</v>
      </c>
      <c r="B233" t="s">
        <v>16</v>
      </c>
      <c r="C233" t="s">
        <v>2688</v>
      </c>
      <c r="D233" t="s">
        <v>2689</v>
      </c>
      <c r="E233" t="s">
        <v>2690</v>
      </c>
      <c r="F233" t="s">
        <v>2691</v>
      </c>
      <c r="G233" t="s">
        <v>2692</v>
      </c>
      <c r="H233" t="s">
        <v>22</v>
      </c>
      <c r="I233" t="s">
        <v>895</v>
      </c>
    </row>
    <row r="234" spans="1:9" ht="11.25" customHeight="1">
      <c r="A234" t="s">
        <v>2248</v>
      </c>
      <c r="B234" t="s">
        <v>16</v>
      </c>
      <c r="C234" t="s">
        <v>2693</v>
      </c>
      <c r="D234" t="s">
        <v>2694</v>
      </c>
      <c r="E234" t="s">
        <v>2695</v>
      </c>
      <c r="F234" t="s">
        <v>2273</v>
      </c>
      <c r="G234" t="s">
        <v>22</v>
      </c>
      <c r="H234" t="s">
        <v>22</v>
      </c>
      <c r="I234" t="s">
        <v>895</v>
      </c>
    </row>
    <row r="235" spans="1:9" ht="11.25" customHeight="1">
      <c r="A235" t="s">
        <v>2248</v>
      </c>
      <c r="B235" t="s">
        <v>16</v>
      </c>
      <c r="C235" t="s">
        <v>13</v>
      </c>
      <c r="D235" t="s">
        <v>46</v>
      </c>
      <c r="E235" t="s">
        <v>49</v>
      </c>
      <c r="F235" t="s">
        <v>51</v>
      </c>
      <c r="G235" t="s">
        <v>2696</v>
      </c>
      <c r="H235" t="s">
        <v>22</v>
      </c>
      <c r="I235" t="s">
        <v>895</v>
      </c>
    </row>
    <row r="236" spans="1:9" ht="11.25" customHeight="1">
      <c r="A236" t="s">
        <v>2248</v>
      </c>
      <c r="B236" t="s">
        <v>16</v>
      </c>
      <c r="C236" t="s">
        <v>2697</v>
      </c>
      <c r="D236" t="s">
        <v>2698</v>
      </c>
      <c r="E236" t="s">
        <v>2699</v>
      </c>
      <c r="F236" t="s">
        <v>2635</v>
      </c>
      <c r="G236" t="s">
        <v>2700</v>
      </c>
      <c r="H236" t="s">
        <v>22</v>
      </c>
      <c r="I236" t="s">
        <v>895</v>
      </c>
    </row>
    <row r="237" spans="1:9" ht="11.25" customHeight="1">
      <c r="A237" t="s">
        <v>2248</v>
      </c>
      <c r="B237" t="s">
        <v>16</v>
      </c>
      <c r="C237" t="s">
        <v>2701</v>
      </c>
      <c r="D237" t="s">
        <v>2702</v>
      </c>
      <c r="E237" t="s">
        <v>2703</v>
      </c>
      <c r="F237" t="s">
        <v>2258</v>
      </c>
      <c r="G237" t="s">
        <v>22</v>
      </c>
      <c r="H237" t="s">
        <v>22</v>
      </c>
      <c r="I237" t="s">
        <v>895</v>
      </c>
    </row>
    <row r="238" spans="1:9" ht="11.25" customHeight="1">
      <c r="A238" t="s">
        <v>2248</v>
      </c>
      <c r="B238" t="s">
        <v>16</v>
      </c>
      <c r="C238" t="s">
        <v>2716</v>
      </c>
      <c r="D238" t="s">
        <v>2717</v>
      </c>
      <c r="E238" t="s">
        <v>2718</v>
      </c>
      <c r="F238" t="s">
        <v>2258</v>
      </c>
      <c r="G238" t="s">
        <v>22</v>
      </c>
      <c r="H238" t="s">
        <v>22</v>
      </c>
      <c r="I238" t="s">
        <v>895</v>
      </c>
    </row>
    <row r="239" spans="1:9" ht="11.25" customHeight="1">
      <c r="A239" t="s">
        <v>2248</v>
      </c>
      <c r="B239" t="s">
        <v>16</v>
      </c>
      <c r="C239" t="s">
        <v>2719</v>
      </c>
      <c r="D239" t="s">
        <v>2720</v>
      </c>
      <c r="E239" t="s">
        <v>2721</v>
      </c>
      <c r="F239" t="s">
        <v>2511</v>
      </c>
      <c r="G239" t="s">
        <v>2722</v>
      </c>
      <c r="H239" t="s">
        <v>22</v>
      </c>
      <c r="I239" t="s">
        <v>895</v>
      </c>
    </row>
    <row r="240" spans="1:9" ht="11.25" customHeight="1">
      <c r="A240" t="s">
        <v>2248</v>
      </c>
      <c r="B240" t="s">
        <v>16</v>
      </c>
      <c r="C240" t="s">
        <v>2738</v>
      </c>
      <c r="D240" t="s">
        <v>2739</v>
      </c>
      <c r="E240" t="s">
        <v>2740</v>
      </c>
      <c r="F240" t="s">
        <v>2273</v>
      </c>
      <c r="G240" t="s">
        <v>22</v>
      </c>
      <c r="H240" t="s">
        <v>22</v>
      </c>
      <c r="I240" t="s">
        <v>895</v>
      </c>
    </row>
    <row r="241" spans="1:9" ht="11.25" customHeight="1">
      <c r="A241" t="s">
        <v>2248</v>
      </c>
      <c r="B241" t="s">
        <v>16</v>
      </c>
      <c r="C241" t="s">
        <v>2741</v>
      </c>
      <c r="D241" t="s">
        <v>2742</v>
      </c>
      <c r="E241" t="s">
        <v>2743</v>
      </c>
      <c r="F241" t="s">
        <v>2290</v>
      </c>
      <c r="G241" t="s">
        <v>22</v>
      </c>
      <c r="H241" t="s">
        <v>22</v>
      </c>
      <c r="I241" t="s">
        <v>895</v>
      </c>
    </row>
    <row r="242" spans="1:9" ht="11.25" customHeight="1">
      <c r="A242" t="s">
        <v>2248</v>
      </c>
      <c r="B242" t="s">
        <v>16</v>
      </c>
      <c r="C242" t="s">
        <v>2762</v>
      </c>
      <c r="D242" t="s">
        <v>2763</v>
      </c>
      <c r="E242" t="s">
        <v>2764</v>
      </c>
      <c r="F242" t="s">
        <v>2356</v>
      </c>
      <c r="G242" t="s">
        <v>22</v>
      </c>
      <c r="H242" t="s">
        <v>22</v>
      </c>
      <c r="I242" t="s">
        <v>895</v>
      </c>
    </row>
    <row r="243" spans="1:9" ht="11.25" customHeight="1">
      <c r="A243" t="s">
        <v>2248</v>
      </c>
      <c r="B243" t="s">
        <v>16</v>
      </c>
      <c r="C243" t="s">
        <v>2778</v>
      </c>
      <c r="D243" t="s">
        <v>2779</v>
      </c>
      <c r="E243" t="s">
        <v>2780</v>
      </c>
      <c r="F243" t="s">
        <v>2258</v>
      </c>
      <c r="G243" t="s">
        <v>2781</v>
      </c>
      <c r="H243" t="s">
        <v>2782</v>
      </c>
      <c r="I243" t="s">
        <v>895</v>
      </c>
    </row>
    <row r="244" spans="1:9" ht="11.25" customHeight="1">
      <c r="A244" t="s">
        <v>2248</v>
      </c>
      <c r="B244" t="s">
        <v>16</v>
      </c>
      <c r="C244" t="s">
        <v>2783</v>
      </c>
      <c r="D244" t="s">
        <v>2784</v>
      </c>
      <c r="E244" t="s">
        <v>2785</v>
      </c>
      <c r="F244" t="s">
        <v>2367</v>
      </c>
      <c r="G244" t="s">
        <v>22</v>
      </c>
      <c r="H244" t="s">
        <v>22</v>
      </c>
      <c r="I244" t="s">
        <v>895</v>
      </c>
    </row>
    <row r="245" spans="1:9" ht="11.25" customHeight="1">
      <c r="A245" t="s">
        <v>2248</v>
      </c>
      <c r="B245" t="s">
        <v>16</v>
      </c>
      <c r="C245" t="s">
        <v>2789</v>
      </c>
      <c r="D245" t="s">
        <v>2790</v>
      </c>
      <c r="E245" t="s">
        <v>2791</v>
      </c>
      <c r="F245" t="s">
        <v>2759</v>
      </c>
      <c r="G245" t="s">
        <v>2264</v>
      </c>
      <c r="H245" t="s">
        <v>22</v>
      </c>
      <c r="I245" t="s">
        <v>895</v>
      </c>
    </row>
    <row r="246" spans="1:9" ht="11.25" customHeight="1">
      <c r="A246" t="s">
        <v>2248</v>
      </c>
      <c r="B246" t="s">
        <v>16</v>
      </c>
      <c r="C246" t="s">
        <v>2809</v>
      </c>
      <c r="D246" t="s">
        <v>2810</v>
      </c>
      <c r="E246" t="s">
        <v>2811</v>
      </c>
      <c r="F246" t="s">
        <v>2812</v>
      </c>
      <c r="G246" t="s">
        <v>2813</v>
      </c>
      <c r="H246" t="s">
        <v>22</v>
      </c>
      <c r="I246" t="s">
        <v>895</v>
      </c>
    </row>
    <row r="247" spans="1:9" ht="11.25" customHeight="1">
      <c r="A247" t="s">
        <v>2248</v>
      </c>
      <c r="B247" t="s">
        <v>16</v>
      </c>
      <c r="C247" t="s">
        <v>2817</v>
      </c>
      <c r="D247" t="s">
        <v>2818</v>
      </c>
      <c r="E247" t="s">
        <v>2819</v>
      </c>
      <c r="F247" t="s">
        <v>2759</v>
      </c>
      <c r="G247" t="s">
        <v>22</v>
      </c>
      <c r="H247" t="s">
        <v>22</v>
      </c>
      <c r="I247" t="s">
        <v>895</v>
      </c>
    </row>
    <row r="248" spans="1:9" ht="11.25" customHeight="1">
      <c r="A248" t="s">
        <v>2248</v>
      </c>
      <c r="B248" t="s">
        <v>16</v>
      </c>
      <c r="C248" t="s">
        <v>2832</v>
      </c>
      <c r="D248" t="s">
        <v>2833</v>
      </c>
      <c r="E248" t="s">
        <v>2834</v>
      </c>
      <c r="F248" t="s">
        <v>2258</v>
      </c>
      <c r="G248" t="s">
        <v>22</v>
      </c>
      <c r="H248" t="s">
        <v>22</v>
      </c>
      <c r="I248" t="s">
        <v>895</v>
      </c>
    </row>
    <row r="249" spans="1:9" ht="11.25" customHeight="1">
      <c r="A249" t="s">
        <v>2248</v>
      </c>
      <c r="B249" t="s">
        <v>16</v>
      </c>
      <c r="C249" t="s">
        <v>2835</v>
      </c>
      <c r="D249" t="s">
        <v>2836</v>
      </c>
      <c r="E249" t="s">
        <v>2837</v>
      </c>
      <c r="F249" t="s">
        <v>2511</v>
      </c>
      <c r="G249" t="s">
        <v>22</v>
      </c>
      <c r="H249" t="s">
        <v>22</v>
      </c>
      <c r="I249" t="s">
        <v>895</v>
      </c>
    </row>
    <row r="250" spans="1:9" ht="11.25" customHeight="1">
      <c r="A250" t="s">
        <v>2248</v>
      </c>
      <c r="B250" t="s">
        <v>16</v>
      </c>
      <c r="C250" t="s">
        <v>2838</v>
      </c>
      <c r="D250" t="s">
        <v>2839</v>
      </c>
      <c r="E250" t="s">
        <v>2840</v>
      </c>
      <c r="F250" t="s">
        <v>2258</v>
      </c>
      <c r="G250" t="s">
        <v>22</v>
      </c>
      <c r="H250" t="s">
        <v>22</v>
      </c>
      <c r="I250" t="s">
        <v>895</v>
      </c>
    </row>
    <row r="251" spans="1:9" ht="11.25" customHeight="1">
      <c r="A251" t="s">
        <v>2248</v>
      </c>
      <c r="B251" t="s">
        <v>16</v>
      </c>
      <c r="C251" t="s">
        <v>2845</v>
      </c>
      <c r="D251" t="s">
        <v>2846</v>
      </c>
      <c r="E251" t="s">
        <v>2847</v>
      </c>
      <c r="F251" t="s">
        <v>2848</v>
      </c>
      <c r="G251" t="s">
        <v>22</v>
      </c>
      <c r="H251" t="s">
        <v>22</v>
      </c>
      <c r="I251" t="s">
        <v>895</v>
      </c>
    </row>
    <row r="252" spans="1:9" ht="11.25" customHeight="1">
      <c r="A252" t="s">
        <v>2248</v>
      </c>
      <c r="B252" t="s">
        <v>16</v>
      </c>
      <c r="C252" t="s">
        <v>2857</v>
      </c>
      <c r="D252" t="s">
        <v>2858</v>
      </c>
      <c r="E252" t="s">
        <v>2859</v>
      </c>
      <c r="F252" t="s">
        <v>2316</v>
      </c>
      <c r="G252" t="s">
        <v>22</v>
      </c>
      <c r="H252" t="s">
        <v>22</v>
      </c>
      <c r="I252" t="s">
        <v>895</v>
      </c>
    </row>
    <row r="253" spans="1:9" ht="11.25" customHeight="1">
      <c r="A253" t="s">
        <v>2248</v>
      </c>
      <c r="B253" t="s">
        <v>16</v>
      </c>
      <c r="C253" t="s">
        <v>2860</v>
      </c>
      <c r="D253" t="s">
        <v>2861</v>
      </c>
      <c r="E253" t="s">
        <v>2862</v>
      </c>
      <c r="F253" t="s">
        <v>2343</v>
      </c>
      <c r="G253" t="s">
        <v>22</v>
      </c>
      <c r="H253" t="s">
        <v>22</v>
      </c>
      <c r="I253" t="s">
        <v>895</v>
      </c>
    </row>
    <row r="254" spans="1:9" ht="11.25" customHeight="1">
      <c r="A254" t="s">
        <v>2248</v>
      </c>
      <c r="B254" t="s">
        <v>16</v>
      </c>
      <c r="C254" t="s">
        <v>2863</v>
      </c>
      <c r="D254" t="s">
        <v>2864</v>
      </c>
      <c r="E254" t="s">
        <v>2865</v>
      </c>
      <c r="F254" t="s">
        <v>2866</v>
      </c>
      <c r="G254" t="s">
        <v>22</v>
      </c>
      <c r="H254" t="s">
        <v>22</v>
      </c>
      <c r="I254" t="s">
        <v>895</v>
      </c>
    </row>
    <row r="255" spans="1:9" ht="11.25" customHeight="1">
      <c r="A255" t="s">
        <v>2248</v>
      </c>
      <c r="B255" t="s">
        <v>16</v>
      </c>
      <c r="C255" t="s">
        <v>2867</v>
      </c>
      <c r="D255" t="s">
        <v>2868</v>
      </c>
      <c r="E255" t="s">
        <v>2865</v>
      </c>
      <c r="F255" t="s">
        <v>2869</v>
      </c>
      <c r="G255" t="s">
        <v>2870</v>
      </c>
      <c r="H255" t="s">
        <v>22</v>
      </c>
      <c r="I255" t="s">
        <v>895</v>
      </c>
    </row>
    <row r="256" spans="1:9" ht="11.25" customHeight="1">
      <c r="A256" t="s">
        <v>2248</v>
      </c>
      <c r="B256" t="s">
        <v>16</v>
      </c>
      <c r="C256" t="s">
        <v>2874</v>
      </c>
      <c r="D256" t="s">
        <v>2875</v>
      </c>
      <c r="E256" t="s">
        <v>2876</v>
      </c>
      <c r="F256" t="s">
        <v>2258</v>
      </c>
      <c r="G256" t="s">
        <v>22</v>
      </c>
      <c r="H256" t="s">
        <v>22</v>
      </c>
      <c r="I256" t="s">
        <v>895</v>
      </c>
    </row>
    <row r="257" spans="1:9" ht="11.25" customHeight="1">
      <c r="A257" t="s">
        <v>2248</v>
      </c>
      <c r="B257" t="s">
        <v>16</v>
      </c>
      <c r="C257" t="s">
        <v>2888</v>
      </c>
      <c r="D257" t="s">
        <v>2889</v>
      </c>
      <c r="E257" t="s">
        <v>2890</v>
      </c>
      <c r="F257" t="s">
        <v>2258</v>
      </c>
      <c r="G257" t="s">
        <v>22</v>
      </c>
      <c r="H257" t="s">
        <v>22</v>
      </c>
      <c r="I257" t="s">
        <v>895</v>
      </c>
    </row>
    <row r="258" spans="1:9" ht="11.25" customHeight="1">
      <c r="A258" t="s">
        <v>2248</v>
      </c>
      <c r="B258" t="s">
        <v>16</v>
      </c>
      <c r="C258" t="s">
        <v>2891</v>
      </c>
      <c r="D258" t="s">
        <v>2892</v>
      </c>
      <c r="E258" t="s">
        <v>2893</v>
      </c>
      <c r="F258" t="s">
        <v>2894</v>
      </c>
      <c r="G258" t="s">
        <v>2895</v>
      </c>
      <c r="H258" t="s">
        <v>22</v>
      </c>
      <c r="I258" t="s">
        <v>895</v>
      </c>
    </row>
    <row r="259" spans="1:9" ht="11.25" customHeight="1">
      <c r="A259" t="s">
        <v>2248</v>
      </c>
      <c r="B259" t="s">
        <v>16</v>
      </c>
      <c r="C259" t="s">
        <v>2900</v>
      </c>
      <c r="D259" t="s">
        <v>2901</v>
      </c>
      <c r="E259" t="s">
        <v>2902</v>
      </c>
      <c r="F259" t="s">
        <v>2903</v>
      </c>
      <c r="G259" t="s">
        <v>22</v>
      </c>
      <c r="H259" t="s">
        <v>22</v>
      </c>
      <c r="I259" t="s">
        <v>895</v>
      </c>
    </row>
    <row r="260" spans="1:9" ht="11.25" customHeight="1">
      <c r="A260" t="s">
        <v>2248</v>
      </c>
      <c r="B260" t="s">
        <v>16</v>
      </c>
      <c r="C260" t="s">
        <v>2908</v>
      </c>
      <c r="D260" t="s">
        <v>2909</v>
      </c>
      <c r="E260" t="s">
        <v>2910</v>
      </c>
      <c r="F260" t="s">
        <v>2903</v>
      </c>
      <c r="G260" t="s">
        <v>2911</v>
      </c>
      <c r="H260" t="s">
        <v>22</v>
      </c>
      <c r="I260" t="s">
        <v>895</v>
      </c>
    </row>
    <row r="261" spans="1:9" ht="11.25" customHeight="1">
      <c r="A261" t="s">
        <v>2248</v>
      </c>
      <c r="B261" t="s">
        <v>16</v>
      </c>
      <c r="C261" t="s">
        <v>2912</v>
      </c>
      <c r="D261" t="s">
        <v>2913</v>
      </c>
      <c r="E261" t="s">
        <v>2914</v>
      </c>
      <c r="F261" t="s">
        <v>2915</v>
      </c>
      <c r="G261" t="s">
        <v>2916</v>
      </c>
      <c r="H261" t="s">
        <v>22</v>
      </c>
      <c r="I261" t="s">
        <v>895</v>
      </c>
    </row>
    <row r="262" spans="1:9" ht="11.25" customHeight="1">
      <c r="A262" t="s">
        <v>2248</v>
      </c>
      <c r="B262" t="s">
        <v>16</v>
      </c>
      <c r="C262" t="s">
        <v>2917</v>
      </c>
      <c r="D262" t="s">
        <v>2918</v>
      </c>
      <c r="E262" t="s">
        <v>2919</v>
      </c>
      <c r="F262" t="s">
        <v>2258</v>
      </c>
      <c r="G262" t="s">
        <v>22</v>
      </c>
      <c r="H262" t="s">
        <v>22</v>
      </c>
      <c r="I262" t="s">
        <v>855</v>
      </c>
    </row>
    <row r="263" spans="1:9" ht="11.25" customHeight="1">
      <c r="A263" t="s">
        <v>2248</v>
      </c>
      <c r="B263" t="s">
        <v>16</v>
      </c>
      <c r="C263" t="s">
        <v>2279</v>
      </c>
      <c r="D263" t="s">
        <v>2280</v>
      </c>
      <c r="E263" t="s">
        <v>2281</v>
      </c>
      <c r="F263" t="s">
        <v>2282</v>
      </c>
      <c r="G263" t="s">
        <v>22</v>
      </c>
      <c r="H263" t="s">
        <v>22</v>
      </c>
      <c r="I263" t="s">
        <v>855</v>
      </c>
    </row>
    <row r="264" spans="1:9" ht="11.25" customHeight="1">
      <c r="A264" t="s">
        <v>2248</v>
      </c>
      <c r="B264" t="s">
        <v>16</v>
      </c>
      <c r="C264" t="s">
        <v>2291</v>
      </c>
      <c r="D264" t="s">
        <v>2292</v>
      </c>
      <c r="E264" t="s">
        <v>2293</v>
      </c>
      <c r="F264" t="s">
        <v>2258</v>
      </c>
      <c r="G264" t="s">
        <v>2294</v>
      </c>
      <c r="H264" t="s">
        <v>22</v>
      </c>
      <c r="I264" t="s">
        <v>855</v>
      </c>
    </row>
    <row r="265" spans="1:9" ht="11.25" customHeight="1">
      <c r="A265" t="s">
        <v>2248</v>
      </c>
      <c r="B265" t="s">
        <v>16</v>
      </c>
      <c r="C265" t="s">
        <v>2299</v>
      </c>
      <c r="D265" t="s">
        <v>2300</v>
      </c>
      <c r="E265" t="s">
        <v>2301</v>
      </c>
      <c r="F265" t="s">
        <v>2258</v>
      </c>
      <c r="G265" t="s">
        <v>22</v>
      </c>
      <c r="H265" t="s">
        <v>22</v>
      </c>
      <c r="I265" t="s">
        <v>855</v>
      </c>
    </row>
    <row r="266" spans="1:9" ht="11.25" customHeight="1">
      <c r="A266" t="s">
        <v>2248</v>
      </c>
      <c r="B266" t="s">
        <v>16</v>
      </c>
      <c r="C266" t="s">
        <v>2302</v>
      </c>
      <c r="D266" t="s">
        <v>2303</v>
      </c>
      <c r="E266" t="s">
        <v>2304</v>
      </c>
      <c r="F266" t="s">
        <v>2258</v>
      </c>
      <c r="G266" t="s">
        <v>22</v>
      </c>
      <c r="H266" t="s">
        <v>22</v>
      </c>
      <c r="I266" t="s">
        <v>855</v>
      </c>
    </row>
    <row r="267" spans="1:9" ht="11.25" customHeight="1">
      <c r="A267" t="s">
        <v>2248</v>
      </c>
      <c r="B267" t="s">
        <v>16</v>
      </c>
      <c r="C267" t="s">
        <v>2920</v>
      </c>
      <c r="D267" t="s">
        <v>2921</v>
      </c>
      <c r="E267" t="s">
        <v>2922</v>
      </c>
      <c r="F267" t="s">
        <v>2759</v>
      </c>
      <c r="G267" t="s">
        <v>2923</v>
      </c>
      <c r="H267" t="s">
        <v>22</v>
      </c>
      <c r="I267" t="s">
        <v>855</v>
      </c>
    </row>
    <row r="268" spans="1:9" ht="11.25" customHeight="1">
      <c r="A268" t="s">
        <v>2248</v>
      </c>
      <c r="B268" t="s">
        <v>16</v>
      </c>
      <c r="C268" t="s">
        <v>2313</v>
      </c>
      <c r="D268" t="s">
        <v>2314</v>
      </c>
      <c r="E268" t="s">
        <v>2315</v>
      </c>
      <c r="F268" t="s">
        <v>2316</v>
      </c>
      <c r="G268" t="s">
        <v>22</v>
      </c>
      <c r="H268" t="s">
        <v>22</v>
      </c>
      <c r="I268" t="s">
        <v>855</v>
      </c>
    </row>
    <row r="269" spans="1:9" ht="11.25" customHeight="1">
      <c r="A269" t="s">
        <v>2248</v>
      </c>
      <c r="B269" t="s">
        <v>16</v>
      </c>
      <c r="C269" t="s">
        <v>2325</v>
      </c>
      <c r="D269" t="s">
        <v>2326</v>
      </c>
      <c r="E269" t="s">
        <v>2327</v>
      </c>
      <c r="F269" t="s">
        <v>2328</v>
      </c>
      <c r="G269" t="s">
        <v>22</v>
      </c>
      <c r="H269" t="s">
        <v>22</v>
      </c>
      <c r="I269" t="s">
        <v>855</v>
      </c>
    </row>
    <row r="270" spans="1:9" ht="11.25" customHeight="1">
      <c r="A270" t="s">
        <v>2248</v>
      </c>
      <c r="B270" t="s">
        <v>16</v>
      </c>
      <c r="C270" t="s">
        <v>2337</v>
      </c>
      <c r="D270" t="s">
        <v>2338</v>
      </c>
      <c r="E270" t="s">
        <v>2339</v>
      </c>
      <c r="F270" t="s">
        <v>2324</v>
      </c>
      <c r="G270" t="s">
        <v>22</v>
      </c>
      <c r="H270" t="s">
        <v>22</v>
      </c>
      <c r="I270" t="s">
        <v>855</v>
      </c>
    </row>
    <row r="271" spans="1:9" ht="11.25" customHeight="1">
      <c r="A271" t="s">
        <v>2248</v>
      </c>
      <c r="B271" t="s">
        <v>16</v>
      </c>
      <c r="C271" t="s">
        <v>2360</v>
      </c>
      <c r="D271" t="s">
        <v>2361</v>
      </c>
      <c r="E271" t="s">
        <v>2362</v>
      </c>
      <c r="F271" t="s">
        <v>2363</v>
      </c>
      <c r="G271" t="s">
        <v>22</v>
      </c>
      <c r="H271" t="s">
        <v>22</v>
      </c>
      <c r="I271" t="s">
        <v>855</v>
      </c>
    </row>
    <row r="272" spans="1:9" ht="11.25" customHeight="1">
      <c r="A272" t="s">
        <v>2248</v>
      </c>
      <c r="B272" t="s">
        <v>16</v>
      </c>
      <c r="C272" t="s">
        <v>2924</v>
      </c>
      <c r="D272" t="s">
        <v>2925</v>
      </c>
      <c r="E272" t="s">
        <v>2926</v>
      </c>
      <c r="F272" t="s">
        <v>2258</v>
      </c>
      <c r="G272" t="s">
        <v>22</v>
      </c>
      <c r="H272" t="s">
        <v>22</v>
      </c>
      <c r="I272" t="s">
        <v>855</v>
      </c>
    </row>
    <row r="273" spans="1:9" ht="11.25" customHeight="1">
      <c r="A273" t="s">
        <v>2248</v>
      </c>
      <c r="B273" t="s">
        <v>16</v>
      </c>
      <c r="C273" t="s">
        <v>2385</v>
      </c>
      <c r="D273" t="s">
        <v>2386</v>
      </c>
      <c r="E273" t="s">
        <v>2387</v>
      </c>
      <c r="F273" t="s">
        <v>2278</v>
      </c>
      <c r="G273" t="s">
        <v>22</v>
      </c>
      <c r="H273" t="s">
        <v>22</v>
      </c>
      <c r="I273" t="s">
        <v>855</v>
      </c>
    </row>
    <row r="274" spans="1:9" ht="11.25" customHeight="1">
      <c r="A274" t="s">
        <v>2248</v>
      </c>
      <c r="B274" t="s">
        <v>16</v>
      </c>
      <c r="C274" t="s">
        <v>2393</v>
      </c>
      <c r="D274" t="s">
        <v>2394</v>
      </c>
      <c r="E274" t="s">
        <v>2395</v>
      </c>
      <c r="F274" t="s">
        <v>2396</v>
      </c>
      <c r="G274" t="s">
        <v>22</v>
      </c>
      <c r="H274" t="s">
        <v>22</v>
      </c>
      <c r="I274" t="s">
        <v>855</v>
      </c>
    </row>
    <row r="275" spans="1:9" ht="11.25" customHeight="1">
      <c r="A275" t="s">
        <v>2248</v>
      </c>
      <c r="B275" t="s">
        <v>16</v>
      </c>
      <c r="C275" t="s">
        <v>2400</v>
      </c>
      <c r="D275" t="s">
        <v>2401</v>
      </c>
      <c r="E275" t="s">
        <v>2402</v>
      </c>
      <c r="F275" t="s">
        <v>2258</v>
      </c>
      <c r="G275" t="s">
        <v>22</v>
      </c>
      <c r="H275" t="s">
        <v>22</v>
      </c>
      <c r="I275" t="s">
        <v>855</v>
      </c>
    </row>
    <row r="276" spans="1:9" ht="11.25" customHeight="1">
      <c r="A276" t="s">
        <v>2248</v>
      </c>
      <c r="B276" t="s">
        <v>16</v>
      </c>
      <c r="C276" t="s">
        <v>2415</v>
      </c>
      <c r="D276" t="s">
        <v>2416</v>
      </c>
      <c r="E276" t="s">
        <v>2417</v>
      </c>
      <c r="F276" t="s">
        <v>2418</v>
      </c>
      <c r="G276" t="s">
        <v>22</v>
      </c>
      <c r="H276" t="s">
        <v>22</v>
      </c>
      <c r="I276" t="s">
        <v>855</v>
      </c>
    </row>
    <row r="277" spans="1:9" ht="11.25" customHeight="1">
      <c r="A277" t="s">
        <v>2248</v>
      </c>
      <c r="B277" t="s">
        <v>16</v>
      </c>
      <c r="C277" t="s">
        <v>2419</v>
      </c>
      <c r="D277" t="s">
        <v>2420</v>
      </c>
      <c r="E277" t="s">
        <v>2421</v>
      </c>
      <c r="F277" t="s">
        <v>2258</v>
      </c>
      <c r="G277" t="s">
        <v>22</v>
      </c>
      <c r="H277" t="s">
        <v>22</v>
      </c>
      <c r="I277" t="s">
        <v>855</v>
      </c>
    </row>
    <row r="278" spans="1:9" ht="11.25" customHeight="1">
      <c r="A278" t="s">
        <v>2248</v>
      </c>
      <c r="B278" t="s">
        <v>16</v>
      </c>
      <c r="C278" t="s">
        <v>2422</v>
      </c>
      <c r="D278" t="s">
        <v>2423</v>
      </c>
      <c r="E278" t="s">
        <v>2424</v>
      </c>
      <c r="F278" t="s">
        <v>2258</v>
      </c>
      <c r="G278" t="s">
        <v>22</v>
      </c>
      <c r="H278" t="s">
        <v>22</v>
      </c>
      <c r="I278" t="s">
        <v>855</v>
      </c>
    </row>
    <row r="279" spans="1:9" ht="11.25" customHeight="1">
      <c r="A279" t="s">
        <v>2248</v>
      </c>
      <c r="B279" t="s">
        <v>16</v>
      </c>
      <c r="C279" t="s">
        <v>2425</v>
      </c>
      <c r="D279" t="s">
        <v>2426</v>
      </c>
      <c r="E279" t="s">
        <v>2427</v>
      </c>
      <c r="F279" t="s">
        <v>2347</v>
      </c>
      <c r="G279" t="s">
        <v>22</v>
      </c>
      <c r="H279" t="s">
        <v>22</v>
      </c>
      <c r="I279" t="s">
        <v>855</v>
      </c>
    </row>
    <row r="280" spans="1:9" ht="11.25" customHeight="1">
      <c r="A280" t="s">
        <v>2248</v>
      </c>
      <c r="B280" t="s">
        <v>16</v>
      </c>
      <c r="C280" t="s">
        <v>2428</v>
      </c>
      <c r="D280" t="s">
        <v>2429</v>
      </c>
      <c r="E280" t="s">
        <v>2430</v>
      </c>
      <c r="F280" t="s">
        <v>2258</v>
      </c>
      <c r="G280" t="s">
        <v>22</v>
      </c>
      <c r="H280" t="s">
        <v>22</v>
      </c>
      <c r="I280" t="s">
        <v>855</v>
      </c>
    </row>
    <row r="281" spans="1:9" ht="11.25" customHeight="1">
      <c r="A281" t="s">
        <v>2248</v>
      </c>
      <c r="B281" t="s">
        <v>16</v>
      </c>
      <c r="C281" t="s">
        <v>2927</v>
      </c>
      <c r="D281" t="s">
        <v>2928</v>
      </c>
      <c r="E281" t="s">
        <v>2929</v>
      </c>
      <c r="F281" t="s">
        <v>2930</v>
      </c>
      <c r="G281" t="s">
        <v>22</v>
      </c>
      <c r="H281" t="s">
        <v>22</v>
      </c>
      <c r="I281" t="s">
        <v>855</v>
      </c>
    </row>
    <row r="282" spans="1:9" ht="11.25" customHeight="1">
      <c r="A282" t="s">
        <v>2248</v>
      </c>
      <c r="B282" t="s">
        <v>16</v>
      </c>
      <c r="C282" t="s">
        <v>22</v>
      </c>
      <c r="D282" t="s">
        <v>2431</v>
      </c>
      <c r="E282" t="s">
        <v>2432</v>
      </c>
      <c r="F282" t="s">
        <v>2433</v>
      </c>
      <c r="G282" t="s">
        <v>22</v>
      </c>
      <c r="H282" t="s">
        <v>22</v>
      </c>
      <c r="I282" t="s">
        <v>855</v>
      </c>
    </row>
    <row r="283" spans="1:9" ht="11.25" customHeight="1">
      <c r="A283" t="s">
        <v>2248</v>
      </c>
      <c r="B283" t="s">
        <v>16</v>
      </c>
      <c r="C283" t="s">
        <v>2931</v>
      </c>
      <c r="D283" t="s">
        <v>2932</v>
      </c>
      <c r="E283" t="s">
        <v>2933</v>
      </c>
      <c r="F283" t="s">
        <v>2258</v>
      </c>
      <c r="G283" t="s">
        <v>22</v>
      </c>
      <c r="H283" t="s">
        <v>22</v>
      </c>
      <c r="I283" t="s">
        <v>855</v>
      </c>
    </row>
    <row r="284" spans="1:9" ht="11.25" customHeight="1">
      <c r="A284" t="s">
        <v>2248</v>
      </c>
      <c r="B284" t="s">
        <v>16</v>
      </c>
      <c r="C284" t="s">
        <v>2444</v>
      </c>
      <c r="D284" t="s">
        <v>2445</v>
      </c>
      <c r="E284" t="s">
        <v>2446</v>
      </c>
      <c r="F284" t="s">
        <v>2258</v>
      </c>
      <c r="G284" t="s">
        <v>22</v>
      </c>
      <c r="H284" t="s">
        <v>22</v>
      </c>
      <c r="I284" t="s">
        <v>855</v>
      </c>
    </row>
    <row r="285" spans="1:9" ht="11.25" customHeight="1">
      <c r="A285" t="s">
        <v>2248</v>
      </c>
      <c r="B285" t="s">
        <v>16</v>
      </c>
      <c r="C285" t="s">
        <v>2934</v>
      </c>
      <c r="D285" t="s">
        <v>2935</v>
      </c>
      <c r="E285" t="s">
        <v>2936</v>
      </c>
      <c r="F285" t="s">
        <v>2937</v>
      </c>
      <c r="G285" t="s">
        <v>22</v>
      </c>
      <c r="H285" t="s">
        <v>22</v>
      </c>
      <c r="I285" t="s">
        <v>855</v>
      </c>
    </row>
    <row r="286" spans="1:9" ht="11.25" customHeight="1">
      <c r="A286" t="s">
        <v>2248</v>
      </c>
      <c r="B286" t="s">
        <v>16</v>
      </c>
      <c r="C286" t="s">
        <v>2447</v>
      </c>
      <c r="D286" t="s">
        <v>2448</v>
      </c>
      <c r="E286" t="s">
        <v>2449</v>
      </c>
      <c r="F286" t="s">
        <v>2254</v>
      </c>
      <c r="G286" t="s">
        <v>2450</v>
      </c>
      <c r="H286" t="s">
        <v>2451</v>
      </c>
      <c r="I286" t="s">
        <v>855</v>
      </c>
    </row>
    <row r="287" spans="1:9" ht="11.25" customHeight="1">
      <c r="A287" t="s">
        <v>2248</v>
      </c>
      <c r="B287" t="s">
        <v>16</v>
      </c>
      <c r="C287" t="s">
        <v>2457</v>
      </c>
      <c r="D287" t="s">
        <v>2458</v>
      </c>
      <c r="E287" t="s">
        <v>2459</v>
      </c>
      <c r="F287" t="s">
        <v>2343</v>
      </c>
      <c r="G287" t="s">
        <v>22</v>
      </c>
      <c r="H287" t="s">
        <v>22</v>
      </c>
      <c r="I287" t="s">
        <v>855</v>
      </c>
    </row>
    <row r="288" spans="1:9" ht="11.25" customHeight="1">
      <c r="A288" t="s">
        <v>2248</v>
      </c>
      <c r="B288" t="s">
        <v>16</v>
      </c>
      <c r="C288" t="s">
        <v>2463</v>
      </c>
      <c r="D288" t="s">
        <v>2464</v>
      </c>
      <c r="E288" t="s">
        <v>2465</v>
      </c>
      <c r="F288" t="s">
        <v>2466</v>
      </c>
      <c r="G288" t="s">
        <v>2467</v>
      </c>
      <c r="H288" t="s">
        <v>22</v>
      </c>
      <c r="I288" t="s">
        <v>855</v>
      </c>
    </row>
    <row r="289" spans="1:9" ht="11.25" customHeight="1">
      <c r="A289" t="s">
        <v>2248</v>
      </c>
      <c r="B289" t="s">
        <v>16</v>
      </c>
      <c r="C289" t="s">
        <v>2938</v>
      </c>
      <c r="D289" t="s">
        <v>2939</v>
      </c>
      <c r="E289" t="s">
        <v>2940</v>
      </c>
      <c r="F289" t="s">
        <v>2374</v>
      </c>
      <c r="G289" t="s">
        <v>22</v>
      </c>
      <c r="H289" t="s">
        <v>22</v>
      </c>
      <c r="I289" t="s">
        <v>855</v>
      </c>
    </row>
    <row r="290" spans="1:9" ht="11.25" customHeight="1">
      <c r="A290" t="s">
        <v>2248</v>
      </c>
      <c r="B290" t="s">
        <v>16</v>
      </c>
      <c r="C290" t="s">
        <v>2491</v>
      </c>
      <c r="D290" t="s">
        <v>2492</v>
      </c>
      <c r="E290" t="s">
        <v>2493</v>
      </c>
      <c r="F290" t="s">
        <v>2494</v>
      </c>
      <c r="G290" t="s">
        <v>22</v>
      </c>
      <c r="H290" t="s">
        <v>22</v>
      </c>
      <c r="I290" t="s">
        <v>855</v>
      </c>
    </row>
    <row r="291" spans="1:9" ht="11.25" customHeight="1">
      <c r="A291" t="s">
        <v>2248</v>
      </c>
      <c r="B291" t="s">
        <v>16</v>
      </c>
      <c r="C291" t="s">
        <v>2941</v>
      </c>
      <c r="D291" t="s">
        <v>2942</v>
      </c>
      <c r="E291" t="s">
        <v>2943</v>
      </c>
      <c r="F291" t="s">
        <v>2258</v>
      </c>
      <c r="G291" t="s">
        <v>22</v>
      </c>
      <c r="H291" t="s">
        <v>22</v>
      </c>
      <c r="I291" t="s">
        <v>855</v>
      </c>
    </row>
    <row r="292" spans="1:9" ht="11.25" customHeight="1">
      <c r="A292" t="s">
        <v>2248</v>
      </c>
      <c r="B292" t="s">
        <v>16</v>
      </c>
      <c r="C292" t="s">
        <v>2516</v>
      </c>
      <c r="D292" t="s">
        <v>2517</v>
      </c>
      <c r="E292" t="s">
        <v>2518</v>
      </c>
      <c r="F292" t="s">
        <v>2418</v>
      </c>
      <c r="G292" t="s">
        <v>22</v>
      </c>
      <c r="H292" t="s">
        <v>22</v>
      </c>
      <c r="I292" t="s">
        <v>855</v>
      </c>
    </row>
    <row r="293" spans="1:9" ht="11.25" customHeight="1">
      <c r="A293" t="s">
        <v>2248</v>
      </c>
      <c r="B293" t="s">
        <v>16</v>
      </c>
      <c r="C293" t="s">
        <v>2944</v>
      </c>
      <c r="D293" t="s">
        <v>2945</v>
      </c>
      <c r="E293" t="s">
        <v>2946</v>
      </c>
      <c r="F293" t="s">
        <v>2258</v>
      </c>
      <c r="G293" t="s">
        <v>22</v>
      </c>
      <c r="H293" t="s">
        <v>22</v>
      </c>
      <c r="I293" t="s">
        <v>855</v>
      </c>
    </row>
    <row r="294" spans="1:9" ht="11.25" customHeight="1">
      <c r="A294" t="s">
        <v>2248</v>
      </c>
      <c r="B294" t="s">
        <v>16</v>
      </c>
      <c r="C294" t="s">
        <v>2535</v>
      </c>
      <c r="D294" t="s">
        <v>2536</v>
      </c>
      <c r="E294" t="s">
        <v>2537</v>
      </c>
      <c r="F294" t="s">
        <v>2538</v>
      </c>
      <c r="G294" t="s">
        <v>22</v>
      </c>
      <c r="H294" t="s">
        <v>22</v>
      </c>
      <c r="I294" t="s">
        <v>855</v>
      </c>
    </row>
    <row r="295" spans="1:9" ht="11.25" customHeight="1">
      <c r="A295" t="s">
        <v>2248</v>
      </c>
      <c r="B295" t="s">
        <v>16</v>
      </c>
      <c r="C295" t="s">
        <v>2542</v>
      </c>
      <c r="D295" t="s">
        <v>2543</v>
      </c>
      <c r="E295" t="s">
        <v>2493</v>
      </c>
      <c r="F295" t="s">
        <v>2544</v>
      </c>
      <c r="G295" t="s">
        <v>2545</v>
      </c>
      <c r="H295" t="s">
        <v>22</v>
      </c>
      <c r="I295" t="s">
        <v>855</v>
      </c>
    </row>
    <row r="296" spans="1:9" ht="11.25" customHeight="1">
      <c r="A296" t="s">
        <v>2248</v>
      </c>
      <c r="B296" t="s">
        <v>16</v>
      </c>
      <c r="C296" t="s">
        <v>2947</v>
      </c>
      <c r="D296" t="s">
        <v>2948</v>
      </c>
      <c r="E296" t="s">
        <v>2949</v>
      </c>
      <c r="F296" t="s">
        <v>2367</v>
      </c>
      <c r="G296" t="s">
        <v>22</v>
      </c>
      <c r="H296" t="s">
        <v>22</v>
      </c>
      <c r="I296" t="s">
        <v>855</v>
      </c>
    </row>
    <row r="297" spans="1:9" ht="11.25" customHeight="1">
      <c r="A297" t="s">
        <v>2248</v>
      </c>
      <c r="B297" t="s">
        <v>16</v>
      </c>
      <c r="C297" t="s">
        <v>2569</v>
      </c>
      <c r="D297" t="s">
        <v>2570</v>
      </c>
      <c r="E297" t="s">
        <v>2571</v>
      </c>
      <c r="F297" t="s">
        <v>2258</v>
      </c>
      <c r="G297" t="s">
        <v>2572</v>
      </c>
      <c r="H297" t="s">
        <v>22</v>
      </c>
      <c r="I297" t="s">
        <v>855</v>
      </c>
    </row>
    <row r="298" spans="1:9" ht="11.25" customHeight="1">
      <c r="A298" t="s">
        <v>2248</v>
      </c>
      <c r="B298" t="s">
        <v>16</v>
      </c>
      <c r="C298" t="s">
        <v>2950</v>
      </c>
      <c r="D298" t="s">
        <v>2951</v>
      </c>
      <c r="E298" t="s">
        <v>2952</v>
      </c>
      <c r="F298" t="s">
        <v>2258</v>
      </c>
      <c r="G298" t="s">
        <v>22</v>
      </c>
      <c r="H298" t="s">
        <v>22</v>
      </c>
      <c r="I298" t="s">
        <v>855</v>
      </c>
    </row>
    <row r="299" spans="1:9" ht="11.25" customHeight="1">
      <c r="A299" t="s">
        <v>2248</v>
      </c>
      <c r="B299" t="s">
        <v>16</v>
      </c>
      <c r="C299" t="s">
        <v>2953</v>
      </c>
      <c r="D299" t="s">
        <v>2954</v>
      </c>
      <c r="E299" t="s">
        <v>2955</v>
      </c>
      <c r="F299" t="s">
        <v>2455</v>
      </c>
      <c r="G299" t="s">
        <v>2956</v>
      </c>
      <c r="H299" t="s">
        <v>22</v>
      </c>
      <c r="I299" t="s">
        <v>855</v>
      </c>
    </row>
    <row r="300" spans="1:9" ht="11.25" customHeight="1">
      <c r="A300" t="s">
        <v>2248</v>
      </c>
      <c r="B300" t="s">
        <v>16</v>
      </c>
      <c r="C300" t="s">
        <v>2957</v>
      </c>
      <c r="D300" t="s">
        <v>2958</v>
      </c>
      <c r="E300" t="s">
        <v>2955</v>
      </c>
      <c r="F300" t="s">
        <v>2437</v>
      </c>
      <c r="G300" t="s">
        <v>22</v>
      </c>
      <c r="H300" t="s">
        <v>22</v>
      </c>
      <c r="I300" t="s">
        <v>855</v>
      </c>
    </row>
    <row r="301" spans="1:9" ht="11.25" customHeight="1">
      <c r="A301" t="s">
        <v>2248</v>
      </c>
      <c r="B301" t="s">
        <v>16</v>
      </c>
      <c r="C301" t="s">
        <v>2600</v>
      </c>
      <c r="D301" t="s">
        <v>2601</v>
      </c>
      <c r="E301" t="s">
        <v>2602</v>
      </c>
      <c r="F301" t="s">
        <v>2258</v>
      </c>
      <c r="G301" t="s">
        <v>2603</v>
      </c>
      <c r="H301" t="s">
        <v>22</v>
      </c>
      <c r="I301" t="s">
        <v>855</v>
      </c>
    </row>
    <row r="302" spans="1:9" ht="11.25" customHeight="1">
      <c r="A302" t="s">
        <v>2248</v>
      </c>
      <c r="B302" t="s">
        <v>16</v>
      </c>
      <c r="C302" t="s">
        <v>2959</v>
      </c>
      <c r="D302" t="s">
        <v>2960</v>
      </c>
      <c r="E302" t="s">
        <v>2961</v>
      </c>
      <c r="F302" t="s">
        <v>2930</v>
      </c>
      <c r="G302" t="s">
        <v>22</v>
      </c>
      <c r="H302" t="s">
        <v>22</v>
      </c>
      <c r="I302" t="s">
        <v>855</v>
      </c>
    </row>
    <row r="303" spans="1:9" ht="11.25" customHeight="1">
      <c r="A303" t="s">
        <v>2248</v>
      </c>
      <c r="B303" t="s">
        <v>16</v>
      </c>
      <c r="C303" t="s">
        <v>2616</v>
      </c>
      <c r="D303" t="s">
        <v>2617</v>
      </c>
      <c r="E303" t="s">
        <v>2618</v>
      </c>
      <c r="F303" t="s">
        <v>2619</v>
      </c>
      <c r="G303" t="s">
        <v>2620</v>
      </c>
      <c r="H303" t="s">
        <v>22</v>
      </c>
      <c r="I303" t="s">
        <v>855</v>
      </c>
    </row>
    <row r="304" spans="1:9" ht="11.25" customHeight="1">
      <c r="A304" t="s">
        <v>2248</v>
      </c>
      <c r="B304" t="s">
        <v>16</v>
      </c>
      <c r="C304" t="s">
        <v>2628</v>
      </c>
      <c r="D304" t="s">
        <v>2629</v>
      </c>
      <c r="E304" t="s">
        <v>2630</v>
      </c>
      <c r="F304" t="s">
        <v>2631</v>
      </c>
      <c r="G304" t="s">
        <v>22</v>
      </c>
      <c r="H304" t="s">
        <v>22</v>
      </c>
      <c r="I304" t="s">
        <v>855</v>
      </c>
    </row>
    <row r="305" spans="1:9" ht="11.25" customHeight="1">
      <c r="A305" t="s">
        <v>2248</v>
      </c>
      <c r="B305" t="s">
        <v>16</v>
      </c>
      <c r="C305" t="s">
        <v>2644</v>
      </c>
      <c r="D305" t="s">
        <v>2645</v>
      </c>
      <c r="E305" t="s">
        <v>2646</v>
      </c>
      <c r="F305" t="s">
        <v>2631</v>
      </c>
      <c r="G305" t="s">
        <v>2647</v>
      </c>
      <c r="H305" t="s">
        <v>22</v>
      </c>
      <c r="I305" t="s">
        <v>855</v>
      </c>
    </row>
    <row r="306" spans="1:9" ht="11.25" customHeight="1">
      <c r="A306" t="s">
        <v>2248</v>
      </c>
      <c r="B306" t="s">
        <v>16</v>
      </c>
      <c r="C306" t="s">
        <v>2657</v>
      </c>
      <c r="D306" t="s">
        <v>2658</v>
      </c>
      <c r="E306" t="s">
        <v>2659</v>
      </c>
      <c r="F306" t="s">
        <v>2418</v>
      </c>
      <c r="G306" t="s">
        <v>22</v>
      </c>
      <c r="H306" t="s">
        <v>22</v>
      </c>
      <c r="I306" t="s">
        <v>855</v>
      </c>
    </row>
    <row r="307" spans="1:9" ht="11.25" customHeight="1">
      <c r="A307" t="s">
        <v>2248</v>
      </c>
      <c r="B307" t="s">
        <v>16</v>
      </c>
      <c r="C307" t="s">
        <v>2962</v>
      </c>
      <c r="D307" t="s">
        <v>2963</v>
      </c>
      <c r="E307" t="s">
        <v>2964</v>
      </c>
      <c r="F307" t="s">
        <v>2418</v>
      </c>
      <c r="G307" t="s">
        <v>22</v>
      </c>
      <c r="H307" t="s">
        <v>22</v>
      </c>
      <c r="I307" t="s">
        <v>855</v>
      </c>
    </row>
    <row r="308" spans="1:9" ht="11.25" customHeight="1">
      <c r="A308" t="s">
        <v>2248</v>
      </c>
      <c r="B308" t="s">
        <v>16</v>
      </c>
      <c r="C308" t="s">
        <v>2701</v>
      </c>
      <c r="D308" t="s">
        <v>2702</v>
      </c>
      <c r="E308" t="s">
        <v>2703</v>
      </c>
      <c r="F308" t="s">
        <v>2258</v>
      </c>
      <c r="G308" t="s">
        <v>22</v>
      </c>
      <c r="H308" t="s">
        <v>22</v>
      </c>
      <c r="I308" t="s">
        <v>855</v>
      </c>
    </row>
    <row r="309" spans="1:9" ht="11.25" customHeight="1">
      <c r="A309" t="s">
        <v>2248</v>
      </c>
      <c r="B309" t="s">
        <v>16</v>
      </c>
      <c r="C309" t="s">
        <v>2716</v>
      </c>
      <c r="D309" t="s">
        <v>2717</v>
      </c>
      <c r="E309" t="s">
        <v>2718</v>
      </c>
      <c r="F309" t="s">
        <v>2258</v>
      </c>
      <c r="G309" t="s">
        <v>22</v>
      </c>
      <c r="H309" t="s">
        <v>22</v>
      </c>
      <c r="I309" t="s">
        <v>855</v>
      </c>
    </row>
    <row r="310" spans="1:9" ht="11.25" customHeight="1">
      <c r="A310" t="s">
        <v>2248</v>
      </c>
      <c r="B310" t="s">
        <v>16</v>
      </c>
      <c r="C310" t="s">
        <v>2719</v>
      </c>
      <c r="D310" t="s">
        <v>2720</v>
      </c>
      <c r="E310" t="s">
        <v>2721</v>
      </c>
      <c r="F310" t="s">
        <v>2511</v>
      </c>
      <c r="G310" t="s">
        <v>2722</v>
      </c>
      <c r="H310" t="s">
        <v>22</v>
      </c>
      <c r="I310" t="s">
        <v>855</v>
      </c>
    </row>
    <row r="311" spans="1:9" ht="11.25" customHeight="1">
      <c r="A311" t="s">
        <v>2248</v>
      </c>
      <c r="B311" t="s">
        <v>16</v>
      </c>
      <c r="C311" t="s">
        <v>2965</v>
      </c>
      <c r="D311" t="s">
        <v>2966</v>
      </c>
      <c r="E311" t="s">
        <v>2967</v>
      </c>
      <c r="F311" t="s">
        <v>2263</v>
      </c>
      <c r="G311" t="s">
        <v>2968</v>
      </c>
      <c r="H311" t="s">
        <v>22</v>
      </c>
      <c r="I311" t="s">
        <v>855</v>
      </c>
    </row>
    <row r="312" spans="1:9" ht="11.25" customHeight="1">
      <c r="A312" t="s">
        <v>2248</v>
      </c>
      <c r="B312" t="s">
        <v>16</v>
      </c>
      <c r="C312" t="s">
        <v>2969</v>
      </c>
      <c r="D312" t="s">
        <v>2970</v>
      </c>
      <c r="E312" t="s">
        <v>2971</v>
      </c>
      <c r="F312" t="s">
        <v>2258</v>
      </c>
      <c r="G312" t="s">
        <v>2972</v>
      </c>
      <c r="H312" t="s">
        <v>22</v>
      </c>
      <c r="I312" t="s">
        <v>855</v>
      </c>
    </row>
    <row r="313" spans="1:9" ht="11.25" customHeight="1">
      <c r="A313" t="s">
        <v>2248</v>
      </c>
      <c r="B313" t="s">
        <v>16</v>
      </c>
      <c r="C313" t="s">
        <v>2973</v>
      </c>
      <c r="D313" t="s">
        <v>2974</v>
      </c>
      <c r="E313" t="s">
        <v>2975</v>
      </c>
      <c r="F313" t="s">
        <v>2683</v>
      </c>
      <c r="G313" t="s">
        <v>2976</v>
      </c>
      <c r="H313" t="s">
        <v>22</v>
      </c>
      <c r="I313" t="s">
        <v>855</v>
      </c>
    </row>
    <row r="314" spans="1:9" ht="11.25" customHeight="1">
      <c r="A314" t="s">
        <v>2248</v>
      </c>
      <c r="B314" t="s">
        <v>16</v>
      </c>
      <c r="C314" t="s">
        <v>2977</v>
      </c>
      <c r="D314" t="s">
        <v>2978</v>
      </c>
      <c r="E314" t="s">
        <v>2979</v>
      </c>
      <c r="F314" t="s">
        <v>2258</v>
      </c>
      <c r="G314" t="s">
        <v>2980</v>
      </c>
      <c r="H314" t="s">
        <v>22</v>
      </c>
      <c r="I314" t="s">
        <v>855</v>
      </c>
    </row>
    <row r="315" spans="1:9" ht="11.25" customHeight="1">
      <c r="A315" t="s">
        <v>2248</v>
      </c>
      <c r="B315" t="s">
        <v>16</v>
      </c>
      <c r="C315" t="s">
        <v>2981</v>
      </c>
      <c r="D315" t="s">
        <v>2982</v>
      </c>
      <c r="E315" t="s">
        <v>2983</v>
      </c>
      <c r="F315" t="s">
        <v>2631</v>
      </c>
      <c r="G315" t="s">
        <v>22</v>
      </c>
      <c r="H315" t="s">
        <v>22</v>
      </c>
      <c r="I315" t="s">
        <v>855</v>
      </c>
    </row>
    <row r="316" spans="1:9" ht="11.25" customHeight="1">
      <c r="A316" t="s">
        <v>2248</v>
      </c>
      <c r="B316" t="s">
        <v>16</v>
      </c>
      <c r="C316" t="s">
        <v>2768</v>
      </c>
      <c r="D316" t="s">
        <v>2769</v>
      </c>
      <c r="E316" t="s">
        <v>2770</v>
      </c>
      <c r="F316" t="s">
        <v>2258</v>
      </c>
      <c r="G316" t="s">
        <v>22</v>
      </c>
      <c r="H316" t="s">
        <v>22</v>
      </c>
      <c r="I316" t="s">
        <v>855</v>
      </c>
    </row>
    <row r="317" spans="1:9" ht="11.25" customHeight="1">
      <c r="A317" t="s">
        <v>2248</v>
      </c>
      <c r="B317" t="s">
        <v>16</v>
      </c>
      <c r="C317" t="s">
        <v>2984</v>
      </c>
      <c r="D317" t="s">
        <v>2985</v>
      </c>
      <c r="E317" t="s">
        <v>2986</v>
      </c>
      <c r="F317" t="s">
        <v>2987</v>
      </c>
      <c r="G317" t="s">
        <v>22</v>
      </c>
      <c r="H317" t="s">
        <v>22</v>
      </c>
      <c r="I317" t="s">
        <v>855</v>
      </c>
    </row>
    <row r="318" spans="1:9" ht="11.25" customHeight="1">
      <c r="A318" t="s">
        <v>2248</v>
      </c>
      <c r="B318" t="s">
        <v>16</v>
      </c>
      <c r="C318" t="s">
        <v>2775</v>
      </c>
      <c r="D318" t="s">
        <v>2776</v>
      </c>
      <c r="E318" t="s">
        <v>2777</v>
      </c>
      <c r="F318" t="s">
        <v>2433</v>
      </c>
      <c r="G318" t="s">
        <v>22</v>
      </c>
      <c r="H318" t="s">
        <v>22</v>
      </c>
      <c r="I318" t="s">
        <v>855</v>
      </c>
    </row>
    <row r="319" spans="1:9" ht="11.25" customHeight="1">
      <c r="A319" t="s">
        <v>2248</v>
      </c>
      <c r="B319" t="s">
        <v>16</v>
      </c>
      <c r="C319" t="s">
        <v>2778</v>
      </c>
      <c r="D319" t="s">
        <v>2779</v>
      </c>
      <c r="E319" t="s">
        <v>2780</v>
      </c>
      <c r="F319" t="s">
        <v>2258</v>
      </c>
      <c r="G319" t="s">
        <v>2781</v>
      </c>
      <c r="H319" t="s">
        <v>2782</v>
      </c>
      <c r="I319" t="s">
        <v>855</v>
      </c>
    </row>
    <row r="320" spans="1:9" ht="11.25" customHeight="1">
      <c r="A320" t="s">
        <v>2248</v>
      </c>
      <c r="B320" t="s">
        <v>16</v>
      </c>
      <c r="C320" t="s">
        <v>2789</v>
      </c>
      <c r="D320" t="s">
        <v>2790</v>
      </c>
      <c r="E320" t="s">
        <v>2791</v>
      </c>
      <c r="F320" t="s">
        <v>2759</v>
      </c>
      <c r="G320" t="s">
        <v>2264</v>
      </c>
      <c r="H320" t="s">
        <v>22</v>
      </c>
      <c r="I320" t="s">
        <v>855</v>
      </c>
    </row>
    <row r="321" spans="1:9" ht="11.25" customHeight="1">
      <c r="A321" t="s">
        <v>2248</v>
      </c>
      <c r="B321" t="s">
        <v>16</v>
      </c>
      <c r="C321" t="s">
        <v>2988</v>
      </c>
      <c r="D321" t="s">
        <v>2989</v>
      </c>
      <c r="E321" t="s">
        <v>2990</v>
      </c>
      <c r="F321" t="s">
        <v>2258</v>
      </c>
      <c r="G321" t="s">
        <v>22</v>
      </c>
      <c r="H321" t="s">
        <v>22</v>
      </c>
      <c r="I321" t="s">
        <v>855</v>
      </c>
    </row>
    <row r="322" spans="1:9" ht="11.25" customHeight="1">
      <c r="A322" t="s">
        <v>2248</v>
      </c>
      <c r="B322" t="s">
        <v>16</v>
      </c>
      <c r="C322" t="s">
        <v>2799</v>
      </c>
      <c r="D322" t="s">
        <v>2800</v>
      </c>
      <c r="E322" t="s">
        <v>2801</v>
      </c>
      <c r="F322" t="s">
        <v>2511</v>
      </c>
      <c r="G322" t="s">
        <v>22</v>
      </c>
      <c r="H322" t="s">
        <v>22</v>
      </c>
      <c r="I322" t="s">
        <v>855</v>
      </c>
    </row>
    <row r="323" spans="1:9" ht="11.25" customHeight="1">
      <c r="A323" t="s">
        <v>2248</v>
      </c>
      <c r="B323" t="s">
        <v>16</v>
      </c>
      <c r="C323" t="s">
        <v>2802</v>
      </c>
      <c r="D323" t="s">
        <v>2803</v>
      </c>
      <c r="E323" t="s">
        <v>2804</v>
      </c>
      <c r="F323" t="s">
        <v>2258</v>
      </c>
      <c r="G323" t="s">
        <v>2805</v>
      </c>
      <c r="H323" t="s">
        <v>22</v>
      </c>
      <c r="I323" t="s">
        <v>855</v>
      </c>
    </row>
    <row r="324" spans="1:9" ht="11.25" customHeight="1">
      <c r="A324" t="s">
        <v>2248</v>
      </c>
      <c r="B324" t="s">
        <v>16</v>
      </c>
      <c r="C324" t="s">
        <v>2991</v>
      </c>
      <c r="D324" t="s">
        <v>2992</v>
      </c>
      <c r="E324" t="s">
        <v>2993</v>
      </c>
      <c r="F324" t="s">
        <v>2258</v>
      </c>
      <c r="G324" t="s">
        <v>22</v>
      </c>
      <c r="H324" t="s">
        <v>22</v>
      </c>
      <c r="I324" t="s">
        <v>855</v>
      </c>
    </row>
    <row r="325" spans="1:9" ht="11.25" customHeight="1">
      <c r="A325" t="s">
        <v>2248</v>
      </c>
      <c r="B325" t="s">
        <v>16</v>
      </c>
      <c r="C325" t="s">
        <v>2806</v>
      </c>
      <c r="D325" t="s">
        <v>2807</v>
      </c>
      <c r="E325" t="s">
        <v>2808</v>
      </c>
      <c r="F325" t="s">
        <v>2557</v>
      </c>
      <c r="G325" t="s">
        <v>22</v>
      </c>
      <c r="H325" t="s">
        <v>22</v>
      </c>
      <c r="I325" t="s">
        <v>855</v>
      </c>
    </row>
    <row r="326" spans="1:9" ht="11.25" customHeight="1">
      <c r="A326" t="s">
        <v>2248</v>
      </c>
      <c r="B326" t="s">
        <v>16</v>
      </c>
      <c r="C326" t="s">
        <v>2994</v>
      </c>
      <c r="D326" t="s">
        <v>2995</v>
      </c>
      <c r="E326" t="s">
        <v>2996</v>
      </c>
      <c r="F326" t="s">
        <v>2258</v>
      </c>
      <c r="G326" t="s">
        <v>2997</v>
      </c>
      <c r="H326" t="s">
        <v>22</v>
      </c>
      <c r="I326" t="s">
        <v>855</v>
      </c>
    </row>
    <row r="327" spans="1:9" ht="11.25" customHeight="1">
      <c r="A327" t="s">
        <v>2248</v>
      </c>
      <c r="B327" t="s">
        <v>16</v>
      </c>
      <c r="C327" t="s">
        <v>2998</v>
      </c>
      <c r="D327" t="s">
        <v>2999</v>
      </c>
      <c r="E327" t="s">
        <v>2432</v>
      </c>
      <c r="F327" t="s">
        <v>2433</v>
      </c>
      <c r="G327" t="s">
        <v>22</v>
      </c>
      <c r="H327" t="s">
        <v>22</v>
      </c>
      <c r="I327" t="s">
        <v>855</v>
      </c>
    </row>
    <row r="328" spans="1:9" ht="11.25" customHeight="1">
      <c r="A328" t="s">
        <v>2248</v>
      </c>
      <c r="B328" t="s">
        <v>16</v>
      </c>
      <c r="C328" t="s">
        <v>2809</v>
      </c>
      <c r="D328" t="s">
        <v>2810</v>
      </c>
      <c r="E328" t="s">
        <v>2811</v>
      </c>
      <c r="F328" t="s">
        <v>2812</v>
      </c>
      <c r="G328" t="s">
        <v>2813</v>
      </c>
      <c r="H328" t="s">
        <v>22</v>
      </c>
      <c r="I328" t="s">
        <v>855</v>
      </c>
    </row>
    <row r="329" spans="1:9" ht="11.25" customHeight="1">
      <c r="A329" t="s">
        <v>2248</v>
      </c>
      <c r="B329" t="s">
        <v>16</v>
      </c>
      <c r="C329" t="s">
        <v>2814</v>
      </c>
      <c r="D329" t="s">
        <v>2815</v>
      </c>
      <c r="E329" t="s">
        <v>2816</v>
      </c>
      <c r="F329" t="s">
        <v>2552</v>
      </c>
      <c r="G329" t="s">
        <v>22</v>
      </c>
      <c r="H329" t="s">
        <v>22</v>
      </c>
      <c r="I329" t="s">
        <v>855</v>
      </c>
    </row>
    <row r="330" spans="1:9" ht="11.25" customHeight="1">
      <c r="A330" t="s">
        <v>2248</v>
      </c>
      <c r="B330" t="s">
        <v>16</v>
      </c>
      <c r="C330" t="s">
        <v>2817</v>
      </c>
      <c r="D330" t="s">
        <v>2818</v>
      </c>
      <c r="E330" t="s">
        <v>2819</v>
      </c>
      <c r="F330" t="s">
        <v>2759</v>
      </c>
      <c r="G330" t="s">
        <v>22</v>
      </c>
      <c r="H330" t="s">
        <v>22</v>
      </c>
      <c r="I330" t="s">
        <v>855</v>
      </c>
    </row>
    <row r="331" spans="1:9" ht="11.25" customHeight="1">
      <c r="A331" t="s">
        <v>2248</v>
      </c>
      <c r="B331" t="s">
        <v>16</v>
      </c>
      <c r="C331" t="s">
        <v>2832</v>
      </c>
      <c r="D331" t="s">
        <v>2833</v>
      </c>
      <c r="E331" t="s">
        <v>2834</v>
      </c>
      <c r="F331" t="s">
        <v>2258</v>
      </c>
      <c r="G331" t="s">
        <v>22</v>
      </c>
      <c r="H331" t="s">
        <v>22</v>
      </c>
      <c r="I331" t="s">
        <v>855</v>
      </c>
    </row>
    <row r="332" spans="1:9" ht="11.25" customHeight="1">
      <c r="A332" t="s">
        <v>2248</v>
      </c>
      <c r="B332" t="s">
        <v>16</v>
      </c>
      <c r="C332" t="s">
        <v>2835</v>
      </c>
      <c r="D332" t="s">
        <v>2836</v>
      </c>
      <c r="E332" t="s">
        <v>2837</v>
      </c>
      <c r="F332" t="s">
        <v>2511</v>
      </c>
      <c r="G332" t="s">
        <v>22</v>
      </c>
      <c r="H332" t="s">
        <v>22</v>
      </c>
      <c r="I332" t="s">
        <v>855</v>
      </c>
    </row>
    <row r="333" spans="1:9" ht="11.25" customHeight="1">
      <c r="A333" t="s">
        <v>2248</v>
      </c>
      <c r="B333" t="s">
        <v>16</v>
      </c>
      <c r="C333" t="s">
        <v>3000</v>
      </c>
      <c r="D333" t="s">
        <v>3001</v>
      </c>
      <c r="E333" t="s">
        <v>3002</v>
      </c>
      <c r="F333" t="s">
        <v>2258</v>
      </c>
      <c r="G333" t="s">
        <v>22</v>
      </c>
      <c r="H333" t="s">
        <v>22</v>
      </c>
      <c r="I333" t="s">
        <v>855</v>
      </c>
    </row>
    <row r="334" spans="1:9" ht="11.25" customHeight="1">
      <c r="A334" t="s">
        <v>2248</v>
      </c>
      <c r="B334" t="s">
        <v>16</v>
      </c>
      <c r="C334" t="s">
        <v>2838</v>
      </c>
      <c r="D334" t="s">
        <v>2839</v>
      </c>
      <c r="E334" t="s">
        <v>2840</v>
      </c>
      <c r="F334" t="s">
        <v>2258</v>
      </c>
      <c r="G334" t="s">
        <v>22</v>
      </c>
      <c r="H334" t="s">
        <v>22</v>
      </c>
      <c r="I334" t="s">
        <v>855</v>
      </c>
    </row>
    <row r="335" spans="1:9" ht="11.25" customHeight="1">
      <c r="A335" t="s">
        <v>2248</v>
      </c>
      <c r="B335" t="s">
        <v>16</v>
      </c>
      <c r="C335" t="s">
        <v>3003</v>
      </c>
      <c r="D335" t="s">
        <v>3004</v>
      </c>
      <c r="E335" t="s">
        <v>3005</v>
      </c>
      <c r="F335" t="s">
        <v>2683</v>
      </c>
      <c r="G335" t="s">
        <v>22</v>
      </c>
      <c r="H335" t="s">
        <v>22</v>
      </c>
      <c r="I335" t="s">
        <v>855</v>
      </c>
    </row>
    <row r="336" spans="1:9" ht="11.25" customHeight="1">
      <c r="A336" t="s">
        <v>2248</v>
      </c>
      <c r="B336" t="s">
        <v>16</v>
      </c>
      <c r="C336" t="s">
        <v>2857</v>
      </c>
      <c r="D336" t="s">
        <v>2858</v>
      </c>
      <c r="E336" t="s">
        <v>2859</v>
      </c>
      <c r="F336" t="s">
        <v>2316</v>
      </c>
      <c r="G336" t="s">
        <v>22</v>
      </c>
      <c r="H336" t="s">
        <v>22</v>
      </c>
      <c r="I336" t="s">
        <v>855</v>
      </c>
    </row>
    <row r="337" spans="1:9" ht="11.25" customHeight="1">
      <c r="A337" t="s">
        <v>2248</v>
      </c>
      <c r="B337" t="s">
        <v>16</v>
      </c>
      <c r="C337" t="s">
        <v>2863</v>
      </c>
      <c r="D337" t="s">
        <v>2864</v>
      </c>
      <c r="E337" t="s">
        <v>2865</v>
      </c>
      <c r="F337" t="s">
        <v>2866</v>
      </c>
      <c r="G337" t="s">
        <v>22</v>
      </c>
      <c r="H337" t="s">
        <v>22</v>
      </c>
      <c r="I337" t="s">
        <v>855</v>
      </c>
    </row>
    <row r="338" spans="1:9" ht="11.25" customHeight="1">
      <c r="A338" t="s">
        <v>2248</v>
      </c>
      <c r="B338" t="s">
        <v>16</v>
      </c>
      <c r="C338" t="s">
        <v>2867</v>
      </c>
      <c r="D338" t="s">
        <v>2868</v>
      </c>
      <c r="E338" t="s">
        <v>2865</v>
      </c>
      <c r="F338" t="s">
        <v>2869</v>
      </c>
      <c r="G338" t="s">
        <v>2870</v>
      </c>
      <c r="H338" t="s">
        <v>22</v>
      </c>
      <c r="I338" t="s">
        <v>855</v>
      </c>
    </row>
    <row r="339" spans="1:9" ht="11.25" customHeight="1">
      <c r="A339" t="s">
        <v>2248</v>
      </c>
      <c r="B339" t="s">
        <v>16</v>
      </c>
      <c r="C339" t="s">
        <v>3006</v>
      </c>
      <c r="D339" t="s">
        <v>3007</v>
      </c>
      <c r="E339" t="s">
        <v>3002</v>
      </c>
      <c r="F339" t="s">
        <v>2538</v>
      </c>
      <c r="G339" t="s">
        <v>22</v>
      </c>
      <c r="H339" t="s">
        <v>22</v>
      </c>
      <c r="I339" t="s">
        <v>855</v>
      </c>
    </row>
    <row r="340" spans="1:9" ht="11.25" customHeight="1">
      <c r="A340" t="s">
        <v>2248</v>
      </c>
      <c r="B340" t="s">
        <v>16</v>
      </c>
      <c r="C340" t="s">
        <v>2874</v>
      </c>
      <c r="D340" t="s">
        <v>2875</v>
      </c>
      <c r="E340" t="s">
        <v>2876</v>
      </c>
      <c r="F340" t="s">
        <v>2258</v>
      </c>
      <c r="G340" t="s">
        <v>22</v>
      </c>
      <c r="H340" t="s">
        <v>22</v>
      </c>
      <c r="I340" t="s">
        <v>855</v>
      </c>
    </row>
    <row r="341" spans="1:9" ht="11.25" customHeight="1">
      <c r="A341" t="s">
        <v>2248</v>
      </c>
      <c r="B341" t="s">
        <v>16</v>
      </c>
      <c r="C341" t="s">
        <v>2885</v>
      </c>
      <c r="D341" t="s">
        <v>2886</v>
      </c>
      <c r="E341" t="s">
        <v>2887</v>
      </c>
      <c r="F341" t="s">
        <v>2335</v>
      </c>
      <c r="G341" t="s">
        <v>22</v>
      </c>
      <c r="H341" t="s">
        <v>22</v>
      </c>
      <c r="I341" t="s">
        <v>855</v>
      </c>
    </row>
    <row r="342" spans="1:9" ht="11.25" customHeight="1">
      <c r="A342" t="s">
        <v>2248</v>
      </c>
      <c r="B342" t="s">
        <v>16</v>
      </c>
      <c r="C342" t="s">
        <v>2888</v>
      </c>
      <c r="D342" t="s">
        <v>2889</v>
      </c>
      <c r="E342" t="s">
        <v>2890</v>
      </c>
      <c r="F342" t="s">
        <v>2258</v>
      </c>
      <c r="G342" t="s">
        <v>22</v>
      </c>
      <c r="H342" t="s">
        <v>22</v>
      </c>
      <c r="I342" t="s">
        <v>855</v>
      </c>
    </row>
    <row r="343" spans="1:9" ht="11.25" customHeight="1">
      <c r="A343" t="s">
        <v>2248</v>
      </c>
      <c r="B343" t="s">
        <v>16</v>
      </c>
      <c r="C343" t="s">
        <v>3008</v>
      </c>
      <c r="D343" t="s">
        <v>3009</v>
      </c>
      <c r="E343" t="s">
        <v>3010</v>
      </c>
      <c r="F343" t="s">
        <v>3011</v>
      </c>
      <c r="G343" t="s">
        <v>22</v>
      </c>
      <c r="H343" t="s">
        <v>22</v>
      </c>
      <c r="I343" t="s">
        <v>855</v>
      </c>
    </row>
    <row r="344" spans="1:9" ht="11.25" customHeight="1">
      <c r="A344" t="s">
        <v>2248</v>
      </c>
      <c r="B344" t="s">
        <v>16</v>
      </c>
      <c r="C344" t="s">
        <v>2904</v>
      </c>
      <c r="D344" t="s">
        <v>2905</v>
      </c>
      <c r="E344" t="s">
        <v>2906</v>
      </c>
      <c r="F344" t="s">
        <v>2907</v>
      </c>
      <c r="G344" t="s">
        <v>22</v>
      </c>
      <c r="H344" t="s">
        <v>22</v>
      </c>
      <c r="I344" t="s">
        <v>855</v>
      </c>
    </row>
    <row r="345" spans="1:9" ht="11.25" customHeight="1">
      <c r="A345" t="s">
        <v>2248</v>
      </c>
      <c r="B345" t="s">
        <v>16</v>
      </c>
      <c r="C345" t="s">
        <v>3012</v>
      </c>
      <c r="D345" t="s">
        <v>3013</v>
      </c>
      <c r="E345" t="s">
        <v>3014</v>
      </c>
      <c r="F345" t="s">
        <v>3015</v>
      </c>
      <c r="G345" t="s">
        <v>22</v>
      </c>
      <c r="H345" t="s">
        <v>22</v>
      </c>
      <c r="I345" t="s">
        <v>855</v>
      </c>
    </row>
    <row r="346" spans="1:9" ht="11.25" customHeight="1">
      <c r="A346" t="s">
        <v>2248</v>
      </c>
      <c r="B346" t="s">
        <v>16</v>
      </c>
      <c r="C346" t="s">
        <v>2912</v>
      </c>
      <c r="D346" t="s">
        <v>2913</v>
      </c>
      <c r="E346" t="s">
        <v>2914</v>
      </c>
      <c r="F346" t="s">
        <v>2915</v>
      </c>
      <c r="G346" t="s">
        <v>2916</v>
      </c>
      <c r="H346" t="s">
        <v>22</v>
      </c>
      <c r="I346" t="s">
        <v>855</v>
      </c>
    </row>
    <row r="347" spans="1:9" ht="11.25" customHeight="1">
      <c r="A347" t="s">
        <v>2248</v>
      </c>
      <c r="B347" t="s">
        <v>16</v>
      </c>
      <c r="C347" t="s">
        <v>2265</v>
      </c>
      <c r="D347" t="s">
        <v>2266</v>
      </c>
      <c r="E347" t="s">
        <v>2267</v>
      </c>
      <c r="F347" t="s">
        <v>2268</v>
      </c>
      <c r="G347" t="s">
        <v>2269</v>
      </c>
      <c r="H347" t="s">
        <v>22</v>
      </c>
      <c r="I347" t="s">
        <v>908</v>
      </c>
    </row>
    <row r="348" spans="1:9" ht="11.25" customHeight="1">
      <c r="A348" t="s">
        <v>2248</v>
      </c>
      <c r="B348" t="s">
        <v>16</v>
      </c>
      <c r="C348" t="s">
        <v>2279</v>
      </c>
      <c r="D348" t="s">
        <v>2280</v>
      </c>
      <c r="E348" t="s">
        <v>2281</v>
      </c>
      <c r="F348" t="s">
        <v>2282</v>
      </c>
      <c r="G348" t="s">
        <v>22</v>
      </c>
      <c r="H348" t="s">
        <v>22</v>
      </c>
      <c r="I348" t="s">
        <v>908</v>
      </c>
    </row>
    <row r="349" spans="1:9" ht="11.25" customHeight="1">
      <c r="A349" t="s">
        <v>2248</v>
      </c>
      <c r="B349" t="s">
        <v>16</v>
      </c>
      <c r="C349" t="s">
        <v>2291</v>
      </c>
      <c r="D349" t="s">
        <v>2292</v>
      </c>
      <c r="E349" t="s">
        <v>2293</v>
      </c>
      <c r="F349" t="s">
        <v>2258</v>
      </c>
      <c r="G349" t="s">
        <v>2294</v>
      </c>
      <c r="H349" t="s">
        <v>22</v>
      </c>
      <c r="I349" t="s">
        <v>908</v>
      </c>
    </row>
    <row r="350" spans="1:9" ht="11.25" customHeight="1">
      <c r="A350" t="s">
        <v>2248</v>
      </c>
      <c r="B350" t="s">
        <v>16</v>
      </c>
      <c r="C350" t="s">
        <v>2299</v>
      </c>
      <c r="D350" t="s">
        <v>2300</v>
      </c>
      <c r="E350" t="s">
        <v>2301</v>
      </c>
      <c r="F350" t="s">
        <v>2258</v>
      </c>
      <c r="G350" t="s">
        <v>22</v>
      </c>
      <c r="H350" t="s">
        <v>22</v>
      </c>
      <c r="I350" t="s">
        <v>908</v>
      </c>
    </row>
    <row r="351" spans="1:9" ht="11.25" customHeight="1">
      <c r="A351" t="s">
        <v>2248</v>
      </c>
      <c r="B351" t="s">
        <v>16</v>
      </c>
      <c r="C351" t="s">
        <v>2302</v>
      </c>
      <c r="D351" t="s">
        <v>2303</v>
      </c>
      <c r="E351" t="s">
        <v>2304</v>
      </c>
      <c r="F351" t="s">
        <v>2258</v>
      </c>
      <c r="G351" t="s">
        <v>22</v>
      </c>
      <c r="H351" t="s">
        <v>22</v>
      </c>
      <c r="I351" t="s">
        <v>908</v>
      </c>
    </row>
    <row r="352" spans="1:9" ht="11.25" customHeight="1">
      <c r="A352" t="s">
        <v>2248</v>
      </c>
      <c r="B352" t="s">
        <v>16</v>
      </c>
      <c r="C352" t="s">
        <v>2313</v>
      </c>
      <c r="D352" t="s">
        <v>2314</v>
      </c>
      <c r="E352" t="s">
        <v>2315</v>
      </c>
      <c r="F352" t="s">
        <v>2316</v>
      </c>
      <c r="G352" t="s">
        <v>22</v>
      </c>
      <c r="H352" t="s">
        <v>22</v>
      </c>
      <c r="I352" t="s">
        <v>908</v>
      </c>
    </row>
    <row r="353" spans="1:9" ht="11.25" customHeight="1">
      <c r="A353" t="s">
        <v>2248</v>
      </c>
      <c r="B353" t="s">
        <v>16</v>
      </c>
      <c r="C353" t="s">
        <v>2325</v>
      </c>
      <c r="D353" t="s">
        <v>2326</v>
      </c>
      <c r="E353" t="s">
        <v>2327</v>
      </c>
      <c r="F353" t="s">
        <v>2328</v>
      </c>
      <c r="G353" t="s">
        <v>22</v>
      </c>
      <c r="H353" t="s">
        <v>22</v>
      </c>
      <c r="I353" t="s">
        <v>908</v>
      </c>
    </row>
    <row r="354" spans="1:9" ht="11.25" customHeight="1">
      <c r="A354" t="s">
        <v>2248</v>
      </c>
      <c r="B354" t="s">
        <v>16</v>
      </c>
      <c r="C354" t="s">
        <v>2337</v>
      </c>
      <c r="D354" t="s">
        <v>2338</v>
      </c>
      <c r="E354" t="s">
        <v>2339</v>
      </c>
      <c r="F354" t="s">
        <v>2324</v>
      </c>
      <c r="G354" t="s">
        <v>22</v>
      </c>
      <c r="H354" t="s">
        <v>22</v>
      </c>
      <c r="I354" t="s">
        <v>908</v>
      </c>
    </row>
    <row r="355" spans="1:9" ht="11.25" customHeight="1">
      <c r="A355" t="s">
        <v>2248</v>
      </c>
      <c r="B355" t="s">
        <v>16</v>
      </c>
      <c r="C355" t="s">
        <v>2360</v>
      </c>
      <c r="D355" t="s">
        <v>2361</v>
      </c>
      <c r="E355" t="s">
        <v>2362</v>
      </c>
      <c r="F355" t="s">
        <v>2363</v>
      </c>
      <c r="G355" t="s">
        <v>22</v>
      </c>
      <c r="H355" t="s">
        <v>22</v>
      </c>
      <c r="I355" t="s">
        <v>908</v>
      </c>
    </row>
    <row r="356" spans="1:9" ht="11.25" customHeight="1">
      <c r="A356" t="s">
        <v>2248</v>
      </c>
      <c r="B356" t="s">
        <v>16</v>
      </c>
      <c r="C356" t="s">
        <v>2924</v>
      </c>
      <c r="D356" t="s">
        <v>2925</v>
      </c>
      <c r="E356" t="s">
        <v>2926</v>
      </c>
      <c r="F356" t="s">
        <v>2258</v>
      </c>
      <c r="G356" t="s">
        <v>22</v>
      </c>
      <c r="H356" t="s">
        <v>22</v>
      </c>
      <c r="I356" t="s">
        <v>908</v>
      </c>
    </row>
    <row r="357" spans="1:9" ht="11.25" customHeight="1">
      <c r="A357" t="s">
        <v>2248</v>
      </c>
      <c r="B357" t="s">
        <v>16</v>
      </c>
      <c r="C357" t="s">
        <v>2381</v>
      </c>
      <c r="D357" t="s">
        <v>2382</v>
      </c>
      <c r="E357" t="s">
        <v>2383</v>
      </c>
      <c r="F357" t="s">
        <v>2384</v>
      </c>
      <c r="G357" t="s">
        <v>22</v>
      </c>
      <c r="H357" t="s">
        <v>22</v>
      </c>
      <c r="I357" t="s">
        <v>908</v>
      </c>
    </row>
    <row r="358" spans="1:9" ht="11.25" customHeight="1">
      <c r="A358" t="s">
        <v>2248</v>
      </c>
      <c r="B358" t="s">
        <v>16</v>
      </c>
      <c r="C358" t="s">
        <v>2385</v>
      </c>
      <c r="D358" t="s">
        <v>2386</v>
      </c>
      <c r="E358" t="s">
        <v>2387</v>
      </c>
      <c r="F358" t="s">
        <v>2278</v>
      </c>
      <c r="G358" t="s">
        <v>22</v>
      </c>
      <c r="H358" t="s">
        <v>22</v>
      </c>
      <c r="I358" t="s">
        <v>908</v>
      </c>
    </row>
    <row r="359" spans="1:9" ht="11.25" customHeight="1">
      <c r="A359" t="s">
        <v>2248</v>
      </c>
      <c r="B359" t="s">
        <v>16</v>
      </c>
      <c r="C359" t="s">
        <v>3016</v>
      </c>
      <c r="D359" t="s">
        <v>3017</v>
      </c>
      <c r="E359" t="s">
        <v>3018</v>
      </c>
      <c r="F359" t="s">
        <v>2258</v>
      </c>
      <c r="G359" t="s">
        <v>22</v>
      </c>
      <c r="H359" t="s">
        <v>22</v>
      </c>
      <c r="I359" t="s">
        <v>908</v>
      </c>
    </row>
    <row r="360" spans="1:9" ht="11.25" customHeight="1">
      <c r="A360" t="s">
        <v>2248</v>
      </c>
      <c r="B360" t="s">
        <v>16</v>
      </c>
      <c r="C360" t="s">
        <v>2393</v>
      </c>
      <c r="D360" t="s">
        <v>2394</v>
      </c>
      <c r="E360" t="s">
        <v>2395</v>
      </c>
      <c r="F360" t="s">
        <v>2396</v>
      </c>
      <c r="G360" t="s">
        <v>22</v>
      </c>
      <c r="H360" t="s">
        <v>22</v>
      </c>
      <c r="I360" t="s">
        <v>908</v>
      </c>
    </row>
    <row r="361" spans="1:9" ht="11.25" customHeight="1">
      <c r="A361" t="s">
        <v>2248</v>
      </c>
      <c r="B361" t="s">
        <v>16</v>
      </c>
      <c r="C361" t="s">
        <v>2400</v>
      </c>
      <c r="D361" t="s">
        <v>2401</v>
      </c>
      <c r="E361" t="s">
        <v>2402</v>
      </c>
      <c r="F361" t="s">
        <v>2258</v>
      </c>
      <c r="G361" t="s">
        <v>22</v>
      </c>
      <c r="H361" t="s">
        <v>22</v>
      </c>
      <c r="I361" t="s">
        <v>908</v>
      </c>
    </row>
    <row r="362" spans="1:9" ht="11.25" customHeight="1">
      <c r="A362" t="s">
        <v>2248</v>
      </c>
      <c r="B362" t="s">
        <v>16</v>
      </c>
      <c r="C362" t="s">
        <v>2415</v>
      </c>
      <c r="D362" t="s">
        <v>2416</v>
      </c>
      <c r="E362" t="s">
        <v>2417</v>
      </c>
      <c r="F362" t="s">
        <v>2418</v>
      </c>
      <c r="G362" t="s">
        <v>22</v>
      </c>
      <c r="H362" t="s">
        <v>22</v>
      </c>
      <c r="I362" t="s">
        <v>908</v>
      </c>
    </row>
    <row r="363" spans="1:9" ht="11.25" customHeight="1">
      <c r="A363" t="s">
        <v>2248</v>
      </c>
      <c r="B363" t="s">
        <v>16</v>
      </c>
      <c r="C363" t="s">
        <v>2419</v>
      </c>
      <c r="D363" t="s">
        <v>2420</v>
      </c>
      <c r="E363" t="s">
        <v>2421</v>
      </c>
      <c r="F363" t="s">
        <v>2258</v>
      </c>
      <c r="G363" t="s">
        <v>22</v>
      </c>
      <c r="H363" t="s">
        <v>22</v>
      </c>
      <c r="I363" t="s">
        <v>908</v>
      </c>
    </row>
    <row r="364" spans="1:9" ht="11.25" customHeight="1">
      <c r="A364" t="s">
        <v>2248</v>
      </c>
      <c r="B364" t="s">
        <v>16</v>
      </c>
      <c r="C364" t="s">
        <v>2422</v>
      </c>
      <c r="D364" t="s">
        <v>2423</v>
      </c>
      <c r="E364" t="s">
        <v>2424</v>
      </c>
      <c r="F364" t="s">
        <v>2258</v>
      </c>
      <c r="G364" t="s">
        <v>22</v>
      </c>
      <c r="H364" t="s">
        <v>22</v>
      </c>
      <c r="I364" t="s">
        <v>908</v>
      </c>
    </row>
    <row r="365" spans="1:9" ht="11.25" customHeight="1">
      <c r="A365" t="s">
        <v>2248</v>
      </c>
      <c r="B365" t="s">
        <v>16</v>
      </c>
      <c r="C365" t="s">
        <v>3019</v>
      </c>
      <c r="D365" t="s">
        <v>3020</v>
      </c>
      <c r="E365" t="s">
        <v>3021</v>
      </c>
      <c r="F365" t="s">
        <v>2635</v>
      </c>
      <c r="G365" t="s">
        <v>22</v>
      </c>
      <c r="H365" t="s">
        <v>22</v>
      </c>
      <c r="I365" t="s">
        <v>908</v>
      </c>
    </row>
    <row r="366" spans="1:9" ht="11.25" customHeight="1">
      <c r="A366" t="s">
        <v>2248</v>
      </c>
      <c r="B366" t="s">
        <v>16</v>
      </c>
      <c r="C366" t="s">
        <v>2425</v>
      </c>
      <c r="D366" t="s">
        <v>2426</v>
      </c>
      <c r="E366" t="s">
        <v>2427</v>
      </c>
      <c r="F366" t="s">
        <v>2347</v>
      </c>
      <c r="G366" t="s">
        <v>22</v>
      </c>
      <c r="H366" t="s">
        <v>22</v>
      </c>
      <c r="I366" t="s">
        <v>908</v>
      </c>
    </row>
    <row r="367" spans="1:9" ht="11.25" customHeight="1">
      <c r="A367" t="s">
        <v>2248</v>
      </c>
      <c r="B367" t="s">
        <v>16</v>
      </c>
      <c r="C367" t="s">
        <v>22</v>
      </c>
      <c r="D367" t="s">
        <v>2431</v>
      </c>
      <c r="E367" t="s">
        <v>2432</v>
      </c>
      <c r="F367" t="s">
        <v>2433</v>
      </c>
      <c r="G367" t="s">
        <v>22</v>
      </c>
      <c r="H367" t="s">
        <v>22</v>
      </c>
      <c r="I367" t="s">
        <v>908</v>
      </c>
    </row>
    <row r="368" spans="1:9" ht="11.25" customHeight="1">
      <c r="A368" t="s">
        <v>2248</v>
      </c>
      <c r="B368" t="s">
        <v>16</v>
      </c>
      <c r="C368" t="s">
        <v>2934</v>
      </c>
      <c r="D368" t="s">
        <v>2935</v>
      </c>
      <c r="E368" t="s">
        <v>2936</v>
      </c>
      <c r="F368" t="s">
        <v>2937</v>
      </c>
      <c r="G368" t="s">
        <v>22</v>
      </c>
      <c r="H368" t="s">
        <v>22</v>
      </c>
      <c r="I368" t="s">
        <v>908</v>
      </c>
    </row>
    <row r="369" spans="1:9" ht="11.25" customHeight="1">
      <c r="A369" t="s">
        <v>2248</v>
      </c>
      <c r="B369" t="s">
        <v>16</v>
      </c>
      <c r="C369" t="s">
        <v>2447</v>
      </c>
      <c r="D369" t="s">
        <v>2448</v>
      </c>
      <c r="E369" t="s">
        <v>2449</v>
      </c>
      <c r="F369" t="s">
        <v>2254</v>
      </c>
      <c r="G369" t="s">
        <v>2450</v>
      </c>
      <c r="H369" t="s">
        <v>2451</v>
      </c>
      <c r="I369" t="s">
        <v>908</v>
      </c>
    </row>
    <row r="370" spans="1:9" ht="11.25" customHeight="1">
      <c r="A370" t="s">
        <v>2248</v>
      </c>
      <c r="B370" t="s">
        <v>16</v>
      </c>
      <c r="C370" t="s">
        <v>2938</v>
      </c>
      <c r="D370" t="s">
        <v>2939</v>
      </c>
      <c r="E370" t="s">
        <v>2940</v>
      </c>
      <c r="F370" t="s">
        <v>2374</v>
      </c>
      <c r="G370" t="s">
        <v>22</v>
      </c>
      <c r="H370" t="s">
        <v>22</v>
      </c>
      <c r="I370" t="s">
        <v>908</v>
      </c>
    </row>
    <row r="371" spans="1:9" ht="11.25" customHeight="1">
      <c r="A371" t="s">
        <v>2248</v>
      </c>
      <c r="B371" t="s">
        <v>16</v>
      </c>
      <c r="C371" t="s">
        <v>2491</v>
      </c>
      <c r="D371" t="s">
        <v>2492</v>
      </c>
      <c r="E371" t="s">
        <v>2493</v>
      </c>
      <c r="F371" t="s">
        <v>2494</v>
      </c>
      <c r="G371" t="s">
        <v>22</v>
      </c>
      <c r="H371" t="s">
        <v>22</v>
      </c>
      <c r="I371" t="s">
        <v>908</v>
      </c>
    </row>
    <row r="372" spans="1:9" ht="11.25" customHeight="1">
      <c r="A372" t="s">
        <v>2248</v>
      </c>
      <c r="B372" t="s">
        <v>16</v>
      </c>
      <c r="C372" t="s">
        <v>2941</v>
      </c>
      <c r="D372" t="s">
        <v>2942</v>
      </c>
      <c r="E372" t="s">
        <v>2943</v>
      </c>
      <c r="F372" t="s">
        <v>2258</v>
      </c>
      <c r="G372" t="s">
        <v>22</v>
      </c>
      <c r="H372" t="s">
        <v>22</v>
      </c>
      <c r="I372" t="s">
        <v>908</v>
      </c>
    </row>
    <row r="373" spans="1:9" ht="11.25" customHeight="1">
      <c r="A373" t="s">
        <v>2248</v>
      </c>
      <c r="B373" t="s">
        <v>16</v>
      </c>
      <c r="C373" t="s">
        <v>2516</v>
      </c>
      <c r="D373" t="s">
        <v>2517</v>
      </c>
      <c r="E373" t="s">
        <v>2518</v>
      </c>
      <c r="F373" t="s">
        <v>2418</v>
      </c>
      <c r="G373" t="s">
        <v>22</v>
      </c>
      <c r="H373" t="s">
        <v>22</v>
      </c>
      <c r="I373" t="s">
        <v>908</v>
      </c>
    </row>
    <row r="374" spans="1:9" ht="11.25" customHeight="1">
      <c r="A374" t="s">
        <v>2248</v>
      </c>
      <c r="B374" t="s">
        <v>16</v>
      </c>
      <c r="C374" t="s">
        <v>2944</v>
      </c>
      <c r="D374" t="s">
        <v>2945</v>
      </c>
      <c r="E374" t="s">
        <v>2946</v>
      </c>
      <c r="F374" t="s">
        <v>2258</v>
      </c>
      <c r="G374" t="s">
        <v>22</v>
      </c>
      <c r="H374" t="s">
        <v>22</v>
      </c>
      <c r="I374" t="s">
        <v>908</v>
      </c>
    </row>
    <row r="375" spans="1:9" ht="11.25" customHeight="1">
      <c r="A375" t="s">
        <v>2248</v>
      </c>
      <c r="B375" t="s">
        <v>16</v>
      </c>
      <c r="C375" t="s">
        <v>2535</v>
      </c>
      <c r="D375" t="s">
        <v>2536</v>
      </c>
      <c r="E375" t="s">
        <v>2537</v>
      </c>
      <c r="F375" t="s">
        <v>2538</v>
      </c>
      <c r="G375" t="s">
        <v>22</v>
      </c>
      <c r="H375" t="s">
        <v>22</v>
      </c>
      <c r="I375" t="s">
        <v>908</v>
      </c>
    </row>
    <row r="376" spans="1:9" ht="11.25" customHeight="1">
      <c r="A376" t="s">
        <v>2248</v>
      </c>
      <c r="B376" t="s">
        <v>16</v>
      </c>
      <c r="C376" t="s">
        <v>2542</v>
      </c>
      <c r="D376" t="s">
        <v>2543</v>
      </c>
      <c r="E376" t="s">
        <v>2493</v>
      </c>
      <c r="F376" t="s">
        <v>2544</v>
      </c>
      <c r="G376" t="s">
        <v>2545</v>
      </c>
      <c r="H376" t="s">
        <v>22</v>
      </c>
      <c r="I376" t="s">
        <v>908</v>
      </c>
    </row>
    <row r="377" spans="1:9" ht="11.25" customHeight="1">
      <c r="A377" t="s">
        <v>2248</v>
      </c>
      <c r="B377" t="s">
        <v>16</v>
      </c>
      <c r="C377" t="s">
        <v>3022</v>
      </c>
      <c r="D377" t="s">
        <v>3023</v>
      </c>
      <c r="E377" t="s">
        <v>3024</v>
      </c>
      <c r="F377" t="s">
        <v>3025</v>
      </c>
      <c r="G377" t="s">
        <v>22</v>
      </c>
      <c r="H377" t="s">
        <v>22</v>
      </c>
      <c r="I377" t="s">
        <v>908</v>
      </c>
    </row>
    <row r="378" spans="1:9" ht="11.25" customHeight="1">
      <c r="A378" t="s">
        <v>2248</v>
      </c>
      <c r="B378" t="s">
        <v>16</v>
      </c>
      <c r="C378" t="s">
        <v>3026</v>
      </c>
      <c r="D378" t="s">
        <v>3027</v>
      </c>
      <c r="E378" t="s">
        <v>3028</v>
      </c>
      <c r="F378" t="s">
        <v>2363</v>
      </c>
      <c r="G378" t="s">
        <v>22</v>
      </c>
      <c r="H378" t="s">
        <v>22</v>
      </c>
      <c r="I378" t="s">
        <v>908</v>
      </c>
    </row>
    <row r="379" spans="1:9" ht="11.25" customHeight="1">
      <c r="A379" t="s">
        <v>2248</v>
      </c>
      <c r="B379" t="s">
        <v>16</v>
      </c>
      <c r="C379" t="s">
        <v>3029</v>
      </c>
      <c r="D379" t="s">
        <v>3030</v>
      </c>
      <c r="E379" t="s">
        <v>3031</v>
      </c>
      <c r="F379" t="s">
        <v>2367</v>
      </c>
      <c r="G379" t="s">
        <v>22</v>
      </c>
      <c r="H379" t="s">
        <v>22</v>
      </c>
      <c r="I379" t="s">
        <v>908</v>
      </c>
    </row>
    <row r="380" spans="1:9" ht="11.25" customHeight="1">
      <c r="A380" t="s">
        <v>2248</v>
      </c>
      <c r="B380" t="s">
        <v>16</v>
      </c>
      <c r="C380" t="s">
        <v>2569</v>
      </c>
      <c r="D380" t="s">
        <v>2570</v>
      </c>
      <c r="E380" t="s">
        <v>2571</v>
      </c>
      <c r="F380" t="s">
        <v>2258</v>
      </c>
      <c r="G380" t="s">
        <v>2572</v>
      </c>
      <c r="H380" t="s">
        <v>22</v>
      </c>
      <c r="I380" t="s">
        <v>908</v>
      </c>
    </row>
    <row r="381" spans="1:9" ht="11.25" customHeight="1">
      <c r="A381" t="s">
        <v>2248</v>
      </c>
      <c r="B381" t="s">
        <v>16</v>
      </c>
      <c r="C381" t="s">
        <v>2950</v>
      </c>
      <c r="D381" t="s">
        <v>2951</v>
      </c>
      <c r="E381" t="s">
        <v>2952</v>
      </c>
      <c r="F381" t="s">
        <v>2258</v>
      </c>
      <c r="G381" t="s">
        <v>22</v>
      </c>
      <c r="H381" t="s">
        <v>22</v>
      </c>
      <c r="I381" t="s">
        <v>908</v>
      </c>
    </row>
    <row r="382" spans="1:9" ht="11.25" customHeight="1">
      <c r="A382" t="s">
        <v>2248</v>
      </c>
      <c r="B382" t="s">
        <v>16</v>
      </c>
      <c r="C382" t="s">
        <v>3032</v>
      </c>
      <c r="D382" t="s">
        <v>3033</v>
      </c>
      <c r="E382" t="s">
        <v>3034</v>
      </c>
      <c r="F382" t="s">
        <v>2258</v>
      </c>
      <c r="G382" t="s">
        <v>3035</v>
      </c>
      <c r="H382" t="s">
        <v>22</v>
      </c>
      <c r="I382" t="s">
        <v>908</v>
      </c>
    </row>
    <row r="383" spans="1:9" ht="11.25" customHeight="1">
      <c r="A383" t="s">
        <v>2248</v>
      </c>
      <c r="B383" t="s">
        <v>16</v>
      </c>
      <c r="C383" t="s">
        <v>2953</v>
      </c>
      <c r="D383" t="s">
        <v>2954</v>
      </c>
      <c r="E383" t="s">
        <v>2955</v>
      </c>
      <c r="F383" t="s">
        <v>2455</v>
      </c>
      <c r="G383" t="s">
        <v>2956</v>
      </c>
      <c r="H383" t="s">
        <v>22</v>
      </c>
      <c r="I383" t="s">
        <v>908</v>
      </c>
    </row>
    <row r="384" spans="1:9" ht="11.25" customHeight="1">
      <c r="A384" t="s">
        <v>2248</v>
      </c>
      <c r="B384" t="s">
        <v>16</v>
      </c>
      <c r="C384" t="s">
        <v>3036</v>
      </c>
      <c r="D384" t="s">
        <v>3037</v>
      </c>
      <c r="E384" t="s">
        <v>3038</v>
      </c>
      <c r="F384" t="s">
        <v>2585</v>
      </c>
      <c r="G384" t="s">
        <v>3039</v>
      </c>
      <c r="H384" t="s">
        <v>22</v>
      </c>
      <c r="I384" t="s">
        <v>908</v>
      </c>
    </row>
    <row r="385" spans="1:9" ht="11.25" customHeight="1">
      <c r="A385" t="s">
        <v>2248</v>
      </c>
      <c r="B385" t="s">
        <v>16</v>
      </c>
      <c r="C385" t="s">
        <v>2957</v>
      </c>
      <c r="D385" t="s">
        <v>2958</v>
      </c>
      <c r="E385" t="s">
        <v>2955</v>
      </c>
      <c r="F385" t="s">
        <v>2437</v>
      </c>
      <c r="G385" t="s">
        <v>22</v>
      </c>
      <c r="H385" t="s">
        <v>22</v>
      </c>
      <c r="I385" t="s">
        <v>908</v>
      </c>
    </row>
    <row r="386" spans="1:9" ht="11.25" customHeight="1">
      <c r="A386" t="s">
        <v>2248</v>
      </c>
      <c r="B386" t="s">
        <v>16</v>
      </c>
      <c r="C386" t="s">
        <v>2600</v>
      </c>
      <c r="D386" t="s">
        <v>2601</v>
      </c>
      <c r="E386" t="s">
        <v>2602</v>
      </c>
      <c r="F386" t="s">
        <v>2258</v>
      </c>
      <c r="G386" t="s">
        <v>2603</v>
      </c>
      <c r="H386" t="s">
        <v>22</v>
      </c>
      <c r="I386" t="s">
        <v>908</v>
      </c>
    </row>
    <row r="387" spans="1:9" ht="11.25" customHeight="1">
      <c r="A387" t="s">
        <v>2248</v>
      </c>
      <c r="B387" t="s">
        <v>16</v>
      </c>
      <c r="C387" t="s">
        <v>2959</v>
      </c>
      <c r="D387" t="s">
        <v>2960</v>
      </c>
      <c r="E387" t="s">
        <v>2961</v>
      </c>
      <c r="F387" t="s">
        <v>2930</v>
      </c>
      <c r="G387" t="s">
        <v>22</v>
      </c>
      <c r="H387" t="s">
        <v>22</v>
      </c>
      <c r="I387" t="s">
        <v>908</v>
      </c>
    </row>
    <row r="388" spans="1:9" ht="11.25" customHeight="1">
      <c r="A388" t="s">
        <v>2248</v>
      </c>
      <c r="B388" t="s">
        <v>16</v>
      </c>
      <c r="C388" t="s">
        <v>2628</v>
      </c>
      <c r="D388" t="s">
        <v>2629</v>
      </c>
      <c r="E388" t="s">
        <v>2630</v>
      </c>
      <c r="F388" t="s">
        <v>2631</v>
      </c>
      <c r="G388" t="s">
        <v>22</v>
      </c>
      <c r="H388" t="s">
        <v>22</v>
      </c>
      <c r="I388" t="s">
        <v>908</v>
      </c>
    </row>
    <row r="389" spans="1:9" ht="11.25" customHeight="1">
      <c r="A389" t="s">
        <v>2248</v>
      </c>
      <c r="B389" t="s">
        <v>16</v>
      </c>
      <c r="C389" t="s">
        <v>2644</v>
      </c>
      <c r="D389" t="s">
        <v>2645</v>
      </c>
      <c r="E389" t="s">
        <v>2646</v>
      </c>
      <c r="F389" t="s">
        <v>2631</v>
      </c>
      <c r="G389" t="s">
        <v>2647</v>
      </c>
      <c r="H389" t="s">
        <v>22</v>
      </c>
      <c r="I389" t="s">
        <v>908</v>
      </c>
    </row>
    <row r="390" spans="1:9" ht="11.25" customHeight="1">
      <c r="A390" t="s">
        <v>2248</v>
      </c>
      <c r="B390" t="s">
        <v>16</v>
      </c>
      <c r="C390" t="s">
        <v>2654</v>
      </c>
      <c r="D390" t="s">
        <v>2655</v>
      </c>
      <c r="E390" t="s">
        <v>2656</v>
      </c>
      <c r="F390" t="s">
        <v>2356</v>
      </c>
      <c r="G390" t="s">
        <v>22</v>
      </c>
      <c r="H390" t="s">
        <v>22</v>
      </c>
      <c r="I390" t="s">
        <v>908</v>
      </c>
    </row>
    <row r="391" spans="1:9" ht="11.25" customHeight="1">
      <c r="A391" t="s">
        <v>2248</v>
      </c>
      <c r="B391" t="s">
        <v>16</v>
      </c>
      <c r="C391" t="s">
        <v>3040</v>
      </c>
      <c r="D391" t="s">
        <v>3041</v>
      </c>
      <c r="E391" t="s">
        <v>3042</v>
      </c>
      <c r="F391" t="s">
        <v>2258</v>
      </c>
      <c r="G391" t="s">
        <v>22</v>
      </c>
      <c r="H391" t="s">
        <v>22</v>
      </c>
      <c r="I391" t="s">
        <v>908</v>
      </c>
    </row>
    <row r="392" spans="1:9" ht="11.25" customHeight="1">
      <c r="A392" t="s">
        <v>2248</v>
      </c>
      <c r="B392" t="s">
        <v>16</v>
      </c>
      <c r="C392" t="s">
        <v>2962</v>
      </c>
      <c r="D392" t="s">
        <v>2963</v>
      </c>
      <c r="E392" t="s">
        <v>2964</v>
      </c>
      <c r="F392" t="s">
        <v>2418</v>
      </c>
      <c r="G392" t="s">
        <v>22</v>
      </c>
      <c r="H392" t="s">
        <v>22</v>
      </c>
      <c r="I392" t="s">
        <v>908</v>
      </c>
    </row>
    <row r="393" spans="1:9" ht="11.25" customHeight="1">
      <c r="A393" t="s">
        <v>2248</v>
      </c>
      <c r="B393" t="s">
        <v>16</v>
      </c>
      <c r="C393" t="s">
        <v>2701</v>
      </c>
      <c r="D393" t="s">
        <v>2702</v>
      </c>
      <c r="E393" t="s">
        <v>2703</v>
      </c>
      <c r="F393" t="s">
        <v>2258</v>
      </c>
      <c r="G393" t="s">
        <v>22</v>
      </c>
      <c r="H393" t="s">
        <v>22</v>
      </c>
      <c r="I393" t="s">
        <v>908</v>
      </c>
    </row>
    <row r="394" spans="1:9" ht="11.25" customHeight="1">
      <c r="A394" t="s">
        <v>2248</v>
      </c>
      <c r="B394" t="s">
        <v>16</v>
      </c>
      <c r="C394" t="s">
        <v>2716</v>
      </c>
      <c r="D394" t="s">
        <v>2717</v>
      </c>
      <c r="E394" t="s">
        <v>2718</v>
      </c>
      <c r="F394" t="s">
        <v>2258</v>
      </c>
      <c r="G394" t="s">
        <v>22</v>
      </c>
      <c r="H394" t="s">
        <v>22</v>
      </c>
      <c r="I394" t="s">
        <v>908</v>
      </c>
    </row>
    <row r="395" spans="1:9" ht="11.25" customHeight="1">
      <c r="A395" t="s">
        <v>2248</v>
      </c>
      <c r="B395" t="s">
        <v>16</v>
      </c>
      <c r="C395" t="s">
        <v>2965</v>
      </c>
      <c r="D395" t="s">
        <v>2966</v>
      </c>
      <c r="E395" t="s">
        <v>2967</v>
      </c>
      <c r="F395" t="s">
        <v>2263</v>
      </c>
      <c r="G395" t="s">
        <v>2968</v>
      </c>
      <c r="H395" t="s">
        <v>22</v>
      </c>
      <c r="I395" t="s">
        <v>908</v>
      </c>
    </row>
    <row r="396" spans="1:9" ht="11.25" customHeight="1">
      <c r="A396" t="s">
        <v>2248</v>
      </c>
      <c r="B396" t="s">
        <v>16</v>
      </c>
      <c r="C396" t="s">
        <v>2731</v>
      </c>
      <c r="D396" t="s">
        <v>2732</v>
      </c>
      <c r="E396" t="s">
        <v>2733</v>
      </c>
      <c r="F396" t="s">
        <v>2282</v>
      </c>
      <c r="G396" t="s">
        <v>22</v>
      </c>
      <c r="H396" t="s">
        <v>22</v>
      </c>
      <c r="I396" t="s">
        <v>908</v>
      </c>
    </row>
    <row r="397" spans="1:9" ht="11.25" customHeight="1">
      <c r="A397" t="s">
        <v>2248</v>
      </c>
      <c r="B397" t="s">
        <v>16</v>
      </c>
      <c r="C397" t="s">
        <v>2969</v>
      </c>
      <c r="D397" t="s">
        <v>2970</v>
      </c>
      <c r="E397" t="s">
        <v>2971</v>
      </c>
      <c r="F397" t="s">
        <v>2258</v>
      </c>
      <c r="G397" t="s">
        <v>2972</v>
      </c>
      <c r="H397" t="s">
        <v>22</v>
      </c>
      <c r="I397" t="s">
        <v>908</v>
      </c>
    </row>
    <row r="398" spans="1:9" ht="11.25" customHeight="1">
      <c r="A398" t="s">
        <v>2248</v>
      </c>
      <c r="B398" t="s">
        <v>16</v>
      </c>
      <c r="C398" t="s">
        <v>2973</v>
      </c>
      <c r="D398" t="s">
        <v>2974</v>
      </c>
      <c r="E398" t="s">
        <v>2975</v>
      </c>
      <c r="F398" t="s">
        <v>2683</v>
      </c>
      <c r="G398" t="s">
        <v>2976</v>
      </c>
      <c r="H398" t="s">
        <v>22</v>
      </c>
      <c r="I398" t="s">
        <v>908</v>
      </c>
    </row>
    <row r="399" spans="1:9" ht="11.25" customHeight="1">
      <c r="A399" t="s">
        <v>2248</v>
      </c>
      <c r="B399" t="s">
        <v>16</v>
      </c>
      <c r="C399" t="s">
        <v>2977</v>
      </c>
      <c r="D399" t="s">
        <v>2978</v>
      </c>
      <c r="E399" t="s">
        <v>2979</v>
      </c>
      <c r="F399" t="s">
        <v>2258</v>
      </c>
      <c r="G399" t="s">
        <v>2980</v>
      </c>
      <c r="H399" t="s">
        <v>22</v>
      </c>
      <c r="I399" t="s">
        <v>908</v>
      </c>
    </row>
    <row r="400" spans="1:9" ht="11.25" customHeight="1">
      <c r="A400" t="s">
        <v>2248</v>
      </c>
      <c r="B400" t="s">
        <v>16</v>
      </c>
      <c r="C400" t="s">
        <v>2981</v>
      </c>
      <c r="D400" t="s">
        <v>2982</v>
      </c>
      <c r="E400" t="s">
        <v>2983</v>
      </c>
      <c r="F400" t="s">
        <v>2631</v>
      </c>
      <c r="G400" t="s">
        <v>22</v>
      </c>
      <c r="H400" t="s">
        <v>22</v>
      </c>
      <c r="I400" t="s">
        <v>908</v>
      </c>
    </row>
    <row r="401" spans="1:9" ht="11.25" customHeight="1">
      <c r="A401" t="s">
        <v>2248</v>
      </c>
      <c r="B401" t="s">
        <v>16</v>
      </c>
      <c r="C401" t="s">
        <v>2768</v>
      </c>
      <c r="D401" t="s">
        <v>2769</v>
      </c>
      <c r="E401" t="s">
        <v>2770</v>
      </c>
      <c r="F401" t="s">
        <v>2258</v>
      </c>
      <c r="G401" t="s">
        <v>22</v>
      </c>
      <c r="H401" t="s">
        <v>22</v>
      </c>
      <c r="I401" t="s">
        <v>908</v>
      </c>
    </row>
    <row r="402" spans="1:9" ht="11.25" customHeight="1">
      <c r="A402" t="s">
        <v>2248</v>
      </c>
      <c r="B402" t="s">
        <v>16</v>
      </c>
      <c r="C402" t="s">
        <v>2775</v>
      </c>
      <c r="D402" t="s">
        <v>2776</v>
      </c>
      <c r="E402" t="s">
        <v>2777</v>
      </c>
      <c r="F402" t="s">
        <v>2433</v>
      </c>
      <c r="G402" t="s">
        <v>22</v>
      </c>
      <c r="H402" t="s">
        <v>22</v>
      </c>
      <c r="I402" t="s">
        <v>908</v>
      </c>
    </row>
    <row r="403" spans="1:9" ht="11.25" customHeight="1">
      <c r="A403" t="s">
        <v>2248</v>
      </c>
      <c r="B403" t="s">
        <v>16</v>
      </c>
      <c r="C403" t="s">
        <v>2778</v>
      </c>
      <c r="D403" t="s">
        <v>2779</v>
      </c>
      <c r="E403" t="s">
        <v>2780</v>
      </c>
      <c r="F403" t="s">
        <v>2258</v>
      </c>
      <c r="G403" t="s">
        <v>2781</v>
      </c>
      <c r="H403" t="s">
        <v>2782</v>
      </c>
      <c r="I403" t="s">
        <v>908</v>
      </c>
    </row>
    <row r="404" spans="1:9" ht="11.25" customHeight="1">
      <c r="A404" t="s">
        <v>2248</v>
      </c>
      <c r="B404" t="s">
        <v>16</v>
      </c>
      <c r="C404" t="s">
        <v>2799</v>
      </c>
      <c r="D404" t="s">
        <v>2800</v>
      </c>
      <c r="E404" t="s">
        <v>2801</v>
      </c>
      <c r="F404" t="s">
        <v>2511</v>
      </c>
      <c r="G404" t="s">
        <v>22</v>
      </c>
      <c r="H404" t="s">
        <v>22</v>
      </c>
      <c r="I404" t="s">
        <v>908</v>
      </c>
    </row>
    <row r="405" spans="1:9" ht="11.25" customHeight="1">
      <c r="A405" t="s">
        <v>2248</v>
      </c>
      <c r="B405" t="s">
        <v>16</v>
      </c>
      <c r="C405" t="s">
        <v>2802</v>
      </c>
      <c r="D405" t="s">
        <v>2803</v>
      </c>
      <c r="E405" t="s">
        <v>2804</v>
      </c>
      <c r="F405" t="s">
        <v>2258</v>
      </c>
      <c r="G405" t="s">
        <v>2805</v>
      </c>
      <c r="H405" t="s">
        <v>22</v>
      </c>
      <c r="I405" t="s">
        <v>908</v>
      </c>
    </row>
    <row r="406" spans="1:9" ht="11.25" customHeight="1">
      <c r="A406" t="s">
        <v>2248</v>
      </c>
      <c r="B406" t="s">
        <v>16</v>
      </c>
      <c r="C406" t="s">
        <v>2991</v>
      </c>
      <c r="D406" t="s">
        <v>2992</v>
      </c>
      <c r="E406" t="s">
        <v>2993</v>
      </c>
      <c r="F406" t="s">
        <v>2258</v>
      </c>
      <c r="G406" t="s">
        <v>22</v>
      </c>
      <c r="H406" t="s">
        <v>22</v>
      </c>
      <c r="I406" t="s">
        <v>908</v>
      </c>
    </row>
    <row r="407" spans="1:9" ht="11.25" customHeight="1">
      <c r="A407" t="s">
        <v>2248</v>
      </c>
      <c r="B407" t="s">
        <v>16</v>
      </c>
      <c r="C407" t="s">
        <v>2806</v>
      </c>
      <c r="D407" t="s">
        <v>2807</v>
      </c>
      <c r="E407" t="s">
        <v>2808</v>
      </c>
      <c r="F407" t="s">
        <v>2557</v>
      </c>
      <c r="G407" t="s">
        <v>22</v>
      </c>
      <c r="H407" t="s">
        <v>22</v>
      </c>
      <c r="I407" t="s">
        <v>908</v>
      </c>
    </row>
    <row r="408" spans="1:9" ht="11.25" customHeight="1">
      <c r="A408" t="s">
        <v>2248</v>
      </c>
      <c r="B408" t="s">
        <v>16</v>
      </c>
      <c r="C408" t="s">
        <v>2994</v>
      </c>
      <c r="D408" t="s">
        <v>2995</v>
      </c>
      <c r="E408" t="s">
        <v>2996</v>
      </c>
      <c r="F408" t="s">
        <v>2258</v>
      </c>
      <c r="G408" t="s">
        <v>2997</v>
      </c>
      <c r="H408" t="s">
        <v>22</v>
      </c>
      <c r="I408" t="s">
        <v>908</v>
      </c>
    </row>
    <row r="409" spans="1:9" ht="11.25" customHeight="1">
      <c r="A409" t="s">
        <v>2248</v>
      </c>
      <c r="B409" t="s">
        <v>16</v>
      </c>
      <c r="C409" t="s">
        <v>2809</v>
      </c>
      <c r="D409" t="s">
        <v>2810</v>
      </c>
      <c r="E409" t="s">
        <v>2811</v>
      </c>
      <c r="F409" t="s">
        <v>2812</v>
      </c>
      <c r="G409" t="s">
        <v>2813</v>
      </c>
      <c r="H409" t="s">
        <v>22</v>
      </c>
      <c r="I409" t="s">
        <v>908</v>
      </c>
    </row>
    <row r="410" spans="1:9" ht="11.25" customHeight="1">
      <c r="A410" t="s">
        <v>2248</v>
      </c>
      <c r="B410" t="s">
        <v>16</v>
      </c>
      <c r="C410" t="s">
        <v>2814</v>
      </c>
      <c r="D410" t="s">
        <v>2815</v>
      </c>
      <c r="E410" t="s">
        <v>2816</v>
      </c>
      <c r="F410" t="s">
        <v>2552</v>
      </c>
      <c r="G410" t="s">
        <v>22</v>
      </c>
      <c r="H410" t="s">
        <v>22</v>
      </c>
      <c r="I410" t="s">
        <v>908</v>
      </c>
    </row>
    <row r="411" spans="1:9" ht="11.25" customHeight="1">
      <c r="A411" t="s">
        <v>2248</v>
      </c>
      <c r="B411" t="s">
        <v>16</v>
      </c>
      <c r="C411" t="s">
        <v>2832</v>
      </c>
      <c r="D411" t="s">
        <v>2833</v>
      </c>
      <c r="E411" t="s">
        <v>2834</v>
      </c>
      <c r="F411" t="s">
        <v>2258</v>
      </c>
      <c r="G411" t="s">
        <v>22</v>
      </c>
      <c r="H411" t="s">
        <v>22</v>
      </c>
      <c r="I411" t="s">
        <v>908</v>
      </c>
    </row>
    <row r="412" spans="1:9" ht="11.25" customHeight="1">
      <c r="A412" t="s">
        <v>2248</v>
      </c>
      <c r="B412" t="s">
        <v>16</v>
      </c>
      <c r="C412" t="s">
        <v>2857</v>
      </c>
      <c r="D412" t="s">
        <v>2858</v>
      </c>
      <c r="E412" t="s">
        <v>2859</v>
      </c>
      <c r="F412" t="s">
        <v>2316</v>
      </c>
      <c r="G412" t="s">
        <v>22</v>
      </c>
      <c r="H412" t="s">
        <v>22</v>
      </c>
      <c r="I412" t="s">
        <v>908</v>
      </c>
    </row>
    <row r="413" spans="1:9" ht="11.25" customHeight="1">
      <c r="A413" t="s">
        <v>2248</v>
      </c>
      <c r="B413" t="s">
        <v>16</v>
      </c>
      <c r="C413" t="s">
        <v>2863</v>
      </c>
      <c r="D413" t="s">
        <v>2864</v>
      </c>
      <c r="E413" t="s">
        <v>2865</v>
      </c>
      <c r="F413" t="s">
        <v>2866</v>
      </c>
      <c r="G413" t="s">
        <v>22</v>
      </c>
      <c r="H413" t="s">
        <v>22</v>
      </c>
      <c r="I413" t="s">
        <v>908</v>
      </c>
    </row>
    <row r="414" spans="1:9" ht="11.25" customHeight="1">
      <c r="A414" t="s">
        <v>2248</v>
      </c>
      <c r="B414" t="s">
        <v>16</v>
      </c>
      <c r="C414" t="s">
        <v>2867</v>
      </c>
      <c r="D414" t="s">
        <v>2868</v>
      </c>
      <c r="E414" t="s">
        <v>2865</v>
      </c>
      <c r="F414" t="s">
        <v>2869</v>
      </c>
      <c r="G414" t="s">
        <v>2870</v>
      </c>
      <c r="H414" t="s">
        <v>22</v>
      </c>
      <c r="I414" t="s">
        <v>908</v>
      </c>
    </row>
    <row r="415" spans="1:9" ht="11.25" customHeight="1">
      <c r="A415" t="s">
        <v>2248</v>
      </c>
      <c r="B415" t="s">
        <v>16</v>
      </c>
      <c r="C415" t="s">
        <v>3006</v>
      </c>
      <c r="D415" t="s">
        <v>3007</v>
      </c>
      <c r="E415" t="s">
        <v>3002</v>
      </c>
      <c r="F415" t="s">
        <v>2538</v>
      </c>
      <c r="G415" t="s">
        <v>22</v>
      </c>
      <c r="H415" t="s">
        <v>22</v>
      </c>
      <c r="I415" t="s">
        <v>908</v>
      </c>
    </row>
    <row r="416" spans="1:9" ht="11.25" customHeight="1">
      <c r="A416" t="s">
        <v>2248</v>
      </c>
      <c r="B416" t="s">
        <v>16</v>
      </c>
      <c r="C416" t="s">
        <v>2874</v>
      </c>
      <c r="D416" t="s">
        <v>2875</v>
      </c>
      <c r="E416" t="s">
        <v>2876</v>
      </c>
      <c r="F416" t="s">
        <v>2258</v>
      </c>
      <c r="G416" t="s">
        <v>22</v>
      </c>
      <c r="H416" t="s">
        <v>22</v>
      </c>
      <c r="I416" t="s">
        <v>908</v>
      </c>
    </row>
    <row r="417" spans="1:9" ht="11.25" customHeight="1">
      <c r="A417" t="s">
        <v>2248</v>
      </c>
      <c r="B417" t="s">
        <v>16</v>
      </c>
      <c r="C417" t="s">
        <v>2888</v>
      </c>
      <c r="D417" t="s">
        <v>2889</v>
      </c>
      <c r="E417" t="s">
        <v>2890</v>
      </c>
      <c r="F417" t="s">
        <v>2258</v>
      </c>
      <c r="G417" t="s">
        <v>22</v>
      </c>
      <c r="H417" t="s">
        <v>22</v>
      </c>
      <c r="I417" t="s">
        <v>908</v>
      </c>
    </row>
    <row r="418" spans="1:9" ht="11.25" customHeight="1">
      <c r="A418" t="s">
        <v>2248</v>
      </c>
      <c r="B418" t="s">
        <v>16</v>
      </c>
      <c r="C418" t="s">
        <v>3008</v>
      </c>
      <c r="D418" t="s">
        <v>3009</v>
      </c>
      <c r="E418" t="s">
        <v>3010</v>
      </c>
      <c r="F418" t="s">
        <v>3011</v>
      </c>
      <c r="G418" t="s">
        <v>22</v>
      </c>
      <c r="H418" t="s">
        <v>22</v>
      </c>
      <c r="I418" t="s">
        <v>908</v>
      </c>
    </row>
    <row r="419" spans="1:9" ht="11.25" customHeight="1">
      <c r="A419" t="s">
        <v>2248</v>
      </c>
      <c r="B419" t="s">
        <v>16</v>
      </c>
      <c r="C419" t="s">
        <v>2904</v>
      </c>
      <c r="D419" t="s">
        <v>2905</v>
      </c>
      <c r="E419" t="s">
        <v>2906</v>
      </c>
      <c r="F419" t="s">
        <v>2907</v>
      </c>
      <c r="G419" t="s">
        <v>22</v>
      </c>
      <c r="H419" t="s">
        <v>22</v>
      </c>
      <c r="I419" t="s">
        <v>908</v>
      </c>
    </row>
    <row r="420" spans="1:9" ht="11.25" customHeight="1">
      <c r="A420" t="s">
        <v>2248</v>
      </c>
      <c r="B420" t="s">
        <v>16</v>
      </c>
      <c r="C420" t="s">
        <v>3012</v>
      </c>
      <c r="D420" t="s">
        <v>3013</v>
      </c>
      <c r="E420" t="s">
        <v>3014</v>
      </c>
      <c r="F420" t="s">
        <v>3015</v>
      </c>
      <c r="G420" t="s">
        <v>22</v>
      </c>
      <c r="H420" t="s">
        <v>22</v>
      </c>
      <c r="I420" t="s">
        <v>908</v>
      </c>
    </row>
    <row r="421" spans="1:9" ht="11.25" customHeight="1">
      <c r="A421" t="s">
        <v>2248</v>
      </c>
      <c r="B421" t="s">
        <v>16</v>
      </c>
      <c r="C421" t="s">
        <v>2912</v>
      </c>
      <c r="D421" t="s">
        <v>2913</v>
      </c>
      <c r="E421" t="s">
        <v>2914</v>
      </c>
      <c r="F421" t="s">
        <v>2915</v>
      </c>
      <c r="G421" t="s">
        <v>2916</v>
      </c>
      <c r="H421" t="s">
        <v>22</v>
      </c>
      <c r="I421" t="s">
        <v>908</v>
      </c>
    </row>
    <row r="422" spans="1:9" ht="11.25" customHeight="1">
      <c r="A422" t="s">
        <v>2248</v>
      </c>
      <c r="B422" t="s">
        <v>16</v>
      </c>
      <c r="C422" t="s">
        <v>3043</v>
      </c>
      <c r="D422" t="s">
        <v>3044</v>
      </c>
      <c r="E422" t="s">
        <v>3045</v>
      </c>
      <c r="F422" t="s">
        <v>2312</v>
      </c>
      <c r="G422" t="s">
        <v>3046</v>
      </c>
      <c r="H422" t="s">
        <v>22</v>
      </c>
      <c r="I422" t="s">
        <v>1620</v>
      </c>
    </row>
    <row r="423" spans="1:9" ht="11.25" customHeight="1">
      <c r="A423" t="s">
        <v>2248</v>
      </c>
      <c r="B423" t="s">
        <v>16</v>
      </c>
      <c r="C423" t="s">
        <v>22</v>
      </c>
      <c r="D423" t="s">
        <v>2431</v>
      </c>
      <c r="E423" t="s">
        <v>2432</v>
      </c>
      <c r="F423" t="s">
        <v>2433</v>
      </c>
      <c r="G423" t="s">
        <v>22</v>
      </c>
      <c r="H423" t="s">
        <v>22</v>
      </c>
      <c r="I423" t="s">
        <v>1620</v>
      </c>
    </row>
    <row r="424" spans="1:9" ht="11.25" customHeight="1">
      <c r="A424" t="s">
        <v>2248</v>
      </c>
      <c r="B424" t="s">
        <v>16</v>
      </c>
      <c r="C424" t="s">
        <v>3047</v>
      </c>
      <c r="D424" t="s">
        <v>3048</v>
      </c>
      <c r="E424" t="s">
        <v>3049</v>
      </c>
      <c r="F424" t="s">
        <v>3050</v>
      </c>
      <c r="G424" t="s">
        <v>3051</v>
      </c>
      <c r="H424" t="s">
        <v>22</v>
      </c>
      <c r="I424" t="s">
        <v>1620</v>
      </c>
    </row>
    <row r="425" spans="1:9" ht="11.25" customHeight="1">
      <c r="A425" t="s">
        <v>2248</v>
      </c>
      <c r="B425" t="s">
        <v>16</v>
      </c>
      <c r="C425" t="s">
        <v>3052</v>
      </c>
      <c r="D425" t="s">
        <v>3053</v>
      </c>
      <c r="E425" t="s">
        <v>3054</v>
      </c>
      <c r="F425" t="s">
        <v>3055</v>
      </c>
      <c r="G425" t="s">
        <v>3056</v>
      </c>
      <c r="H425" t="s">
        <v>22</v>
      </c>
      <c r="I425" t="s">
        <v>1620</v>
      </c>
    </row>
    <row r="426" spans="1:9" ht="11.25" customHeight="1">
      <c r="A426" t="s">
        <v>2248</v>
      </c>
      <c r="B426" t="s">
        <v>16</v>
      </c>
      <c r="C426" t="s">
        <v>2597</v>
      </c>
      <c r="D426" t="s">
        <v>2598</v>
      </c>
      <c r="E426" t="s">
        <v>2599</v>
      </c>
      <c r="F426" t="s">
        <v>2290</v>
      </c>
      <c r="G426" t="s">
        <v>22</v>
      </c>
      <c r="H426" t="s">
        <v>22</v>
      </c>
      <c r="I426" t="s">
        <v>1620</v>
      </c>
    </row>
    <row r="427" spans="1:9" ht="11.25" customHeight="1">
      <c r="A427" t="s">
        <v>2248</v>
      </c>
      <c r="B427" t="s">
        <v>16</v>
      </c>
      <c r="C427" t="s">
        <v>3057</v>
      </c>
      <c r="D427" t="s">
        <v>3058</v>
      </c>
      <c r="E427" t="s">
        <v>3059</v>
      </c>
      <c r="F427" t="s">
        <v>2258</v>
      </c>
      <c r="G427" t="s">
        <v>3060</v>
      </c>
      <c r="H427" t="s">
        <v>22</v>
      </c>
      <c r="I427" t="s">
        <v>1620</v>
      </c>
    </row>
    <row r="428" spans="1:9" ht="11.25" customHeight="1">
      <c r="A428" t="s">
        <v>2248</v>
      </c>
      <c r="B428" t="s">
        <v>16</v>
      </c>
      <c r="C428" t="s">
        <v>3061</v>
      </c>
      <c r="D428" t="s">
        <v>3062</v>
      </c>
      <c r="E428" t="s">
        <v>3063</v>
      </c>
      <c r="F428" t="s">
        <v>2363</v>
      </c>
      <c r="G428" t="s">
        <v>3064</v>
      </c>
      <c r="H428" t="s">
        <v>22</v>
      </c>
      <c r="I428" t="s">
        <v>1620</v>
      </c>
    </row>
    <row r="429" spans="1:9" ht="11.25" customHeight="1">
      <c r="A429" t="s">
        <v>2248</v>
      </c>
      <c r="B429" t="s">
        <v>16</v>
      </c>
      <c r="C429" t="s">
        <v>3065</v>
      </c>
      <c r="D429" t="s">
        <v>3066</v>
      </c>
      <c r="E429" t="s">
        <v>3067</v>
      </c>
      <c r="F429" t="s">
        <v>2506</v>
      </c>
      <c r="G429" t="s">
        <v>3068</v>
      </c>
      <c r="H429" t="s">
        <v>22</v>
      </c>
      <c r="I429" t="s">
        <v>1620</v>
      </c>
    </row>
    <row r="430" spans="1:9" ht="11.25" customHeight="1">
      <c r="A430" t="s">
        <v>2248</v>
      </c>
      <c r="B430" t="s">
        <v>16</v>
      </c>
      <c r="C430" t="s">
        <v>2734</v>
      </c>
      <c r="D430" t="s">
        <v>2735</v>
      </c>
      <c r="E430" t="s">
        <v>2736</v>
      </c>
      <c r="F430" t="s">
        <v>2335</v>
      </c>
      <c r="G430" t="s">
        <v>2737</v>
      </c>
      <c r="H430" t="s">
        <v>22</v>
      </c>
      <c r="I430" t="s">
        <v>1620</v>
      </c>
    </row>
    <row r="431" spans="1:9" ht="11.25" customHeight="1">
      <c r="A431" t="s">
        <v>2248</v>
      </c>
      <c r="B431" t="s">
        <v>16</v>
      </c>
      <c r="C431" t="s">
        <v>3069</v>
      </c>
      <c r="D431" t="s">
        <v>3070</v>
      </c>
      <c r="E431" t="s">
        <v>3071</v>
      </c>
      <c r="F431" t="s">
        <v>2552</v>
      </c>
      <c r="G431" t="s">
        <v>22</v>
      </c>
      <c r="H431" t="s">
        <v>22</v>
      </c>
      <c r="I431" t="s">
        <v>1620</v>
      </c>
    </row>
    <row r="432" spans="1:9" ht="11.25" customHeight="1">
      <c r="A432" t="s">
        <v>2248</v>
      </c>
      <c r="B432" t="s">
        <v>16</v>
      </c>
      <c r="C432" t="s">
        <v>3072</v>
      </c>
      <c r="D432" t="s">
        <v>3073</v>
      </c>
      <c r="E432" t="s">
        <v>3074</v>
      </c>
      <c r="F432" t="s">
        <v>51</v>
      </c>
      <c r="G432" t="s">
        <v>3075</v>
      </c>
      <c r="H432" t="s">
        <v>22</v>
      </c>
      <c r="I432"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F2B7-C756-D6F9-826C-52F852670061}">
  <sheetPr>
    <tabColor rgb="FFFFCC99"/>
  </sheetPr>
  <dimension ref="A1:G150"/>
  <sheetViews>
    <sheetView showGridLines="0" workbookViewId="0"/>
  </sheetViews>
  <sheetFormatPr defaultRowHeight="11.25" customHeight="1"/>
  <sheetData>
    <row r="1" spans="1:7" ht="11.25" customHeight="1">
      <c r="A1" s="97" t="s">
        <v>3076</v>
      </c>
      <c r="B1" s="97" t="s">
        <v>3077</v>
      </c>
      <c r="C1" s="97" t="s">
        <v>3078</v>
      </c>
      <c r="D1" s="97" t="s">
        <v>3079</v>
      </c>
      <c r="E1" t="s">
        <v>3080</v>
      </c>
      <c r="F1" t="s">
        <v>3081</v>
      </c>
      <c r="G1" t="s">
        <v>3082</v>
      </c>
    </row>
    <row r="2" spans="1:7" ht="11.25" customHeight="1">
      <c r="A2" s="97" t="s">
        <v>16</v>
      </c>
      <c r="B2" t="s">
        <v>100</v>
      </c>
      <c r="C2" t="s">
        <v>3083</v>
      </c>
      <c r="D2" t="s">
        <v>100</v>
      </c>
      <c r="E2" t="s">
        <v>3083</v>
      </c>
      <c r="F2" t="s">
        <v>3084</v>
      </c>
      <c r="G2" t="s">
        <v>110</v>
      </c>
    </row>
    <row r="3" spans="1:7" ht="11.25" customHeight="1">
      <c r="A3" s="97" t="s">
        <v>16</v>
      </c>
      <c r="B3" t="s">
        <v>100</v>
      </c>
      <c r="C3" t="s">
        <v>3083</v>
      </c>
      <c r="D3" t="s">
        <v>3085</v>
      </c>
      <c r="E3" t="s">
        <v>3086</v>
      </c>
      <c r="F3" t="s">
        <v>3087</v>
      </c>
      <c r="G3" t="s">
        <v>111</v>
      </c>
    </row>
    <row r="4" spans="1:7" ht="11.25" customHeight="1">
      <c r="A4" s="97" t="s">
        <v>16</v>
      </c>
      <c r="B4" t="s">
        <v>100</v>
      </c>
      <c r="C4" t="s">
        <v>3083</v>
      </c>
      <c r="D4" t="s">
        <v>3088</v>
      </c>
      <c r="E4" t="s">
        <v>3089</v>
      </c>
      <c r="F4" t="s">
        <v>3090</v>
      </c>
      <c r="G4" t="s">
        <v>90</v>
      </c>
    </row>
    <row r="5" spans="1:7" ht="11.25" customHeight="1">
      <c r="A5" s="97" t="s">
        <v>16</v>
      </c>
      <c r="B5" t="s">
        <v>100</v>
      </c>
      <c r="C5" t="s">
        <v>3083</v>
      </c>
      <c r="D5" t="s">
        <v>3091</v>
      </c>
      <c r="E5" t="s">
        <v>3092</v>
      </c>
      <c r="F5" t="s">
        <v>3090</v>
      </c>
      <c r="G5" t="s">
        <v>91</v>
      </c>
    </row>
    <row r="6" spans="1:7" ht="11.25" customHeight="1">
      <c r="A6" s="97" t="s">
        <v>16</v>
      </c>
      <c r="B6" t="s">
        <v>100</v>
      </c>
      <c r="C6" t="s">
        <v>3083</v>
      </c>
      <c r="D6" t="s">
        <v>3093</v>
      </c>
      <c r="E6" t="s">
        <v>3094</v>
      </c>
      <c r="F6" t="s">
        <v>3090</v>
      </c>
      <c r="G6" t="s">
        <v>112</v>
      </c>
    </row>
    <row r="7" spans="1:7" ht="11.25" customHeight="1">
      <c r="A7" s="97" t="s">
        <v>16</v>
      </c>
      <c r="B7" t="s">
        <v>100</v>
      </c>
      <c r="C7" t="s">
        <v>3083</v>
      </c>
      <c r="D7" t="s">
        <v>3095</v>
      </c>
      <c r="E7" t="s">
        <v>3096</v>
      </c>
      <c r="F7" t="s">
        <v>3090</v>
      </c>
      <c r="G7" t="s">
        <v>92</v>
      </c>
    </row>
    <row r="8" spans="1:7" ht="11.25" customHeight="1">
      <c r="A8" s="97" t="s">
        <v>16</v>
      </c>
      <c r="B8" t="s">
        <v>100</v>
      </c>
      <c r="C8" t="s">
        <v>3083</v>
      </c>
      <c r="D8" t="s">
        <v>3097</v>
      </c>
      <c r="E8" t="s">
        <v>3098</v>
      </c>
      <c r="F8" t="s">
        <v>3090</v>
      </c>
      <c r="G8" t="s">
        <v>93</v>
      </c>
    </row>
    <row r="9" spans="1:7" ht="11.25" customHeight="1">
      <c r="A9" s="97" t="s">
        <v>16</v>
      </c>
      <c r="B9" t="s">
        <v>100</v>
      </c>
      <c r="C9" t="s">
        <v>3083</v>
      </c>
      <c r="D9" t="s">
        <v>3099</v>
      </c>
      <c r="E9" t="s">
        <v>3100</v>
      </c>
      <c r="F9" t="s">
        <v>3090</v>
      </c>
      <c r="G9" t="s">
        <v>113</v>
      </c>
    </row>
    <row r="10" spans="1:7" ht="11.25" customHeight="1">
      <c r="A10" s="97" t="s">
        <v>16</v>
      </c>
      <c r="B10" t="s">
        <v>100</v>
      </c>
      <c r="C10" t="s">
        <v>3083</v>
      </c>
      <c r="D10" t="s">
        <v>3101</v>
      </c>
      <c r="E10" t="s">
        <v>3102</v>
      </c>
      <c r="F10" t="s">
        <v>3090</v>
      </c>
      <c r="G10" t="s">
        <v>151</v>
      </c>
    </row>
    <row r="11" spans="1:7" ht="11.25" customHeight="1">
      <c r="A11" s="97" t="s">
        <v>16</v>
      </c>
      <c r="B11" t="s">
        <v>100</v>
      </c>
      <c r="C11" t="s">
        <v>3083</v>
      </c>
      <c r="D11" t="s">
        <v>3103</v>
      </c>
      <c r="E11" t="s">
        <v>3104</v>
      </c>
      <c r="F11" t="s">
        <v>3090</v>
      </c>
      <c r="G11" t="s">
        <v>152</v>
      </c>
    </row>
    <row r="12" spans="1:7" ht="11.25" customHeight="1">
      <c r="A12" s="97" t="s">
        <v>16</v>
      </c>
      <c r="B12" t="s">
        <v>100</v>
      </c>
      <c r="C12" t="s">
        <v>3083</v>
      </c>
      <c r="D12" t="s">
        <v>3105</v>
      </c>
      <c r="E12" t="s">
        <v>3106</v>
      </c>
      <c r="F12" t="s">
        <v>3087</v>
      </c>
      <c r="G12" t="s">
        <v>153</v>
      </c>
    </row>
    <row r="13" spans="1:7" ht="11.25" customHeight="1">
      <c r="A13" s="97" t="s">
        <v>16</v>
      </c>
      <c r="B13" t="s">
        <v>100</v>
      </c>
      <c r="C13" t="s">
        <v>3083</v>
      </c>
      <c r="D13" t="s">
        <v>3107</v>
      </c>
      <c r="E13" t="s">
        <v>3108</v>
      </c>
      <c r="F13" t="s">
        <v>3090</v>
      </c>
      <c r="G13" t="s">
        <v>154</v>
      </c>
    </row>
    <row r="14" spans="1:7" ht="11.25" customHeight="1">
      <c r="A14" s="97" t="s">
        <v>16</v>
      </c>
      <c r="B14" t="s">
        <v>100</v>
      </c>
      <c r="C14" t="s">
        <v>3083</v>
      </c>
      <c r="D14" t="s">
        <v>3109</v>
      </c>
      <c r="E14" t="s">
        <v>3110</v>
      </c>
      <c r="F14" t="s">
        <v>3090</v>
      </c>
      <c r="G14" t="s">
        <v>155</v>
      </c>
    </row>
    <row r="15" spans="1:7" ht="11.25" customHeight="1">
      <c r="A15" s="97" t="s">
        <v>16</v>
      </c>
      <c r="B15" t="s">
        <v>100</v>
      </c>
      <c r="C15" t="s">
        <v>3083</v>
      </c>
      <c r="D15" t="s">
        <v>3111</v>
      </c>
      <c r="E15" t="s">
        <v>3112</v>
      </c>
      <c r="F15" t="s">
        <v>3087</v>
      </c>
      <c r="G15" t="s">
        <v>156</v>
      </c>
    </row>
    <row r="16" spans="1:7" ht="11.25" customHeight="1">
      <c r="A16" s="97" t="s">
        <v>16</v>
      </c>
      <c r="B16" t="s">
        <v>100</v>
      </c>
      <c r="C16" t="s">
        <v>3083</v>
      </c>
      <c r="D16" t="s">
        <v>3113</v>
      </c>
      <c r="E16" t="s">
        <v>3114</v>
      </c>
      <c r="F16" t="s">
        <v>3087</v>
      </c>
      <c r="G16" t="s">
        <v>1463</v>
      </c>
    </row>
    <row r="17" spans="1:7" ht="11.25" customHeight="1">
      <c r="A17" s="97" t="s">
        <v>16</v>
      </c>
      <c r="B17" t="s">
        <v>100</v>
      </c>
      <c r="C17" t="s">
        <v>3083</v>
      </c>
      <c r="D17" t="s">
        <v>3115</v>
      </c>
      <c r="E17" t="s">
        <v>3116</v>
      </c>
      <c r="F17" t="s">
        <v>3090</v>
      </c>
      <c r="G17" t="s">
        <v>1469</v>
      </c>
    </row>
    <row r="18" spans="1:7" ht="11.25" customHeight="1">
      <c r="A18" s="97" t="s">
        <v>16</v>
      </c>
      <c r="B18" t="s">
        <v>100</v>
      </c>
      <c r="C18" t="s">
        <v>3083</v>
      </c>
      <c r="D18" t="s">
        <v>3117</v>
      </c>
      <c r="E18" t="s">
        <v>3118</v>
      </c>
      <c r="F18" t="s">
        <v>3087</v>
      </c>
      <c r="G18" t="s">
        <v>1481</v>
      </c>
    </row>
    <row r="19" spans="1:7" ht="11.25" customHeight="1">
      <c r="A19" s="97" t="s">
        <v>16</v>
      </c>
      <c r="B19" t="s">
        <v>100</v>
      </c>
      <c r="C19" t="s">
        <v>3083</v>
      </c>
      <c r="D19" t="s">
        <v>3119</v>
      </c>
      <c r="E19" t="s">
        <v>3120</v>
      </c>
      <c r="F19" t="s">
        <v>3090</v>
      </c>
      <c r="G19" t="s">
        <v>1495</v>
      </c>
    </row>
    <row r="20" spans="1:7" ht="11.25" customHeight="1">
      <c r="A20" s="97" t="s">
        <v>16</v>
      </c>
      <c r="B20" t="s">
        <v>100</v>
      </c>
      <c r="C20" t="s">
        <v>3083</v>
      </c>
      <c r="D20" t="s">
        <v>3121</v>
      </c>
      <c r="E20" t="s">
        <v>3122</v>
      </c>
      <c r="F20" t="s">
        <v>3090</v>
      </c>
      <c r="G20" t="s">
        <v>1507</v>
      </c>
    </row>
    <row r="21" spans="1:7" ht="11.25" customHeight="1">
      <c r="A21" s="97" t="s">
        <v>16</v>
      </c>
      <c r="B21" t="s">
        <v>100</v>
      </c>
      <c r="C21" t="s">
        <v>3083</v>
      </c>
      <c r="D21" t="s">
        <v>3123</v>
      </c>
      <c r="E21" t="s">
        <v>3124</v>
      </c>
      <c r="F21" t="s">
        <v>3090</v>
      </c>
      <c r="G21" t="s">
        <v>1516</v>
      </c>
    </row>
    <row r="22" spans="1:7" ht="11.25" customHeight="1">
      <c r="A22" s="97" t="s">
        <v>16</v>
      </c>
      <c r="B22" t="s">
        <v>100</v>
      </c>
      <c r="C22" t="s">
        <v>3083</v>
      </c>
      <c r="D22" t="s">
        <v>3123</v>
      </c>
      <c r="E22" t="s">
        <v>3125</v>
      </c>
      <c r="F22" t="s">
        <v>3087</v>
      </c>
      <c r="G22" t="s">
        <v>1532</v>
      </c>
    </row>
    <row r="23" spans="1:7" ht="11.25" customHeight="1">
      <c r="A23" s="97" t="s">
        <v>16</v>
      </c>
      <c r="B23" t="s">
        <v>100</v>
      </c>
      <c r="C23" t="s">
        <v>3083</v>
      </c>
      <c r="D23" t="s">
        <v>3126</v>
      </c>
      <c r="E23" t="s">
        <v>3127</v>
      </c>
      <c r="F23" t="s">
        <v>3090</v>
      </c>
      <c r="G23" t="s">
        <v>1539</v>
      </c>
    </row>
    <row r="24" spans="1:7" ht="11.25" customHeight="1">
      <c r="A24" s="97" t="s">
        <v>16</v>
      </c>
      <c r="B24" t="s">
        <v>100</v>
      </c>
      <c r="C24" t="s">
        <v>3083</v>
      </c>
      <c r="D24" t="s">
        <v>3128</v>
      </c>
      <c r="E24" t="s">
        <v>3129</v>
      </c>
      <c r="F24" t="s">
        <v>3087</v>
      </c>
      <c r="G24" t="s">
        <v>1547</v>
      </c>
    </row>
    <row r="25" spans="1:7" ht="11.25" customHeight="1">
      <c r="A25" s="97" t="s">
        <v>16</v>
      </c>
      <c r="B25" t="s">
        <v>100</v>
      </c>
      <c r="C25" t="s">
        <v>3083</v>
      </c>
      <c r="D25" t="s">
        <v>3130</v>
      </c>
      <c r="E25" t="s">
        <v>3131</v>
      </c>
      <c r="F25" t="s">
        <v>3090</v>
      </c>
      <c r="G25" t="s">
        <v>1554</v>
      </c>
    </row>
    <row r="26" spans="1:7" ht="11.25" customHeight="1">
      <c r="A26" s="97" t="s">
        <v>16</v>
      </c>
      <c r="B26" t="s">
        <v>100</v>
      </c>
      <c r="C26" t="s">
        <v>3083</v>
      </c>
      <c r="D26" t="s">
        <v>3132</v>
      </c>
      <c r="E26" t="s">
        <v>3133</v>
      </c>
      <c r="F26" t="s">
        <v>3090</v>
      </c>
      <c r="G26" t="s">
        <v>1558</v>
      </c>
    </row>
    <row r="27" spans="1:7" ht="11.25" customHeight="1">
      <c r="A27" s="97" t="s">
        <v>16</v>
      </c>
      <c r="B27" t="s">
        <v>100</v>
      </c>
      <c r="C27" t="s">
        <v>3083</v>
      </c>
      <c r="D27" t="s">
        <v>3134</v>
      </c>
      <c r="E27" t="s">
        <v>3135</v>
      </c>
      <c r="F27" t="s">
        <v>3090</v>
      </c>
      <c r="G27" t="s">
        <v>1563</v>
      </c>
    </row>
    <row r="28" spans="1:7" ht="11.25" customHeight="1">
      <c r="A28" s="97" t="s">
        <v>16</v>
      </c>
      <c r="B28" t="s">
        <v>100</v>
      </c>
      <c r="C28" t="s">
        <v>3083</v>
      </c>
      <c r="D28" t="s">
        <v>3136</v>
      </c>
      <c r="E28" t="s">
        <v>3137</v>
      </c>
      <c r="F28" t="s">
        <v>3090</v>
      </c>
      <c r="G28" t="s">
        <v>1571</v>
      </c>
    </row>
    <row r="29" spans="1:7" ht="11.25" customHeight="1">
      <c r="A29" s="97" t="s">
        <v>16</v>
      </c>
      <c r="B29" t="s">
        <v>100</v>
      </c>
      <c r="C29" t="s">
        <v>3083</v>
      </c>
      <c r="D29" t="s">
        <v>3138</v>
      </c>
      <c r="E29" t="s">
        <v>3139</v>
      </c>
      <c r="F29" t="s">
        <v>3090</v>
      </c>
      <c r="G29" t="s">
        <v>1573</v>
      </c>
    </row>
    <row r="30" spans="1:7" ht="11.25" customHeight="1">
      <c r="A30" s="97" t="s">
        <v>16</v>
      </c>
      <c r="B30" t="s">
        <v>100</v>
      </c>
      <c r="C30" t="s">
        <v>3083</v>
      </c>
      <c r="D30" t="s">
        <v>3140</v>
      </c>
      <c r="E30" t="s">
        <v>3141</v>
      </c>
      <c r="F30" t="s">
        <v>3090</v>
      </c>
      <c r="G30" t="s">
        <v>1576</v>
      </c>
    </row>
    <row r="31" spans="1:7" ht="11.25" customHeight="1">
      <c r="A31" s="97" t="s">
        <v>16</v>
      </c>
      <c r="B31" t="s">
        <v>100</v>
      </c>
      <c r="C31" t="s">
        <v>3083</v>
      </c>
      <c r="D31" t="s">
        <v>3142</v>
      </c>
      <c r="E31" t="s">
        <v>3143</v>
      </c>
      <c r="F31" t="s">
        <v>3090</v>
      </c>
      <c r="G31" t="s">
        <v>1582</v>
      </c>
    </row>
    <row r="32" spans="1:7" ht="11.25" customHeight="1">
      <c r="A32" s="97" t="s">
        <v>16</v>
      </c>
      <c r="B32" t="s">
        <v>100</v>
      </c>
      <c r="C32" t="s">
        <v>3083</v>
      </c>
      <c r="D32" t="s">
        <v>3144</v>
      </c>
      <c r="E32" t="s">
        <v>3145</v>
      </c>
      <c r="F32" t="s">
        <v>3087</v>
      </c>
      <c r="G32" t="s">
        <v>1584</v>
      </c>
    </row>
    <row r="33" spans="1:7" ht="11.25" customHeight="1">
      <c r="A33" s="97" t="s">
        <v>16</v>
      </c>
      <c r="B33" t="s">
        <v>100</v>
      </c>
      <c r="C33" t="s">
        <v>3083</v>
      </c>
      <c r="D33" t="s">
        <v>3146</v>
      </c>
      <c r="E33" t="s">
        <v>3147</v>
      </c>
      <c r="F33" t="s">
        <v>3090</v>
      </c>
      <c r="G33" t="s">
        <v>1586</v>
      </c>
    </row>
    <row r="34" spans="1:7" ht="11.25" customHeight="1">
      <c r="A34" s="97" t="s">
        <v>16</v>
      </c>
      <c r="B34" t="s">
        <v>100</v>
      </c>
      <c r="C34" t="s">
        <v>3083</v>
      </c>
      <c r="D34" t="s">
        <v>3148</v>
      </c>
      <c r="E34" t="s">
        <v>3149</v>
      </c>
      <c r="F34" t="s">
        <v>3087</v>
      </c>
      <c r="G34" t="s">
        <v>1588</v>
      </c>
    </row>
    <row r="35" spans="1:7" ht="11.25" customHeight="1">
      <c r="A35" s="97" t="s">
        <v>16</v>
      </c>
      <c r="B35" t="s">
        <v>100</v>
      </c>
      <c r="C35" t="s">
        <v>3083</v>
      </c>
      <c r="D35" t="s">
        <v>3150</v>
      </c>
      <c r="E35" t="s">
        <v>3151</v>
      </c>
      <c r="F35" t="s">
        <v>3090</v>
      </c>
      <c r="G35" t="s">
        <v>1593</v>
      </c>
    </row>
    <row r="36" spans="1:7" ht="11.25" customHeight="1">
      <c r="A36" s="97" t="s">
        <v>16</v>
      </c>
      <c r="B36" t="s">
        <v>100</v>
      </c>
      <c r="C36" t="s">
        <v>3083</v>
      </c>
      <c r="D36" t="s">
        <v>3152</v>
      </c>
      <c r="E36" t="s">
        <v>3153</v>
      </c>
      <c r="F36" t="s">
        <v>3090</v>
      </c>
      <c r="G36" t="s">
        <v>1598</v>
      </c>
    </row>
    <row r="37" spans="1:7" ht="11.25" customHeight="1">
      <c r="A37" s="97" t="s">
        <v>16</v>
      </c>
      <c r="B37" t="s">
        <v>100</v>
      </c>
      <c r="C37" t="s">
        <v>3083</v>
      </c>
      <c r="D37" t="s">
        <v>3154</v>
      </c>
      <c r="E37" t="s">
        <v>3155</v>
      </c>
      <c r="F37" t="s">
        <v>3090</v>
      </c>
      <c r="G37" t="s">
        <v>1602</v>
      </c>
    </row>
    <row r="38" spans="1:7" ht="11.25" customHeight="1">
      <c r="A38" s="97" t="s">
        <v>16</v>
      </c>
      <c r="B38" t="s">
        <v>100</v>
      </c>
      <c r="C38" t="s">
        <v>3083</v>
      </c>
      <c r="D38" t="s">
        <v>3156</v>
      </c>
      <c r="E38" t="s">
        <v>3157</v>
      </c>
      <c r="F38" t="s">
        <v>3087</v>
      </c>
      <c r="G38" t="s">
        <v>1610</v>
      </c>
    </row>
    <row r="39" spans="1:7" ht="11.25" customHeight="1">
      <c r="A39" s="97" t="s">
        <v>16</v>
      </c>
      <c r="B39" t="s">
        <v>100</v>
      </c>
      <c r="C39" t="s">
        <v>3083</v>
      </c>
      <c r="D39" t="s">
        <v>3158</v>
      </c>
      <c r="E39" t="s">
        <v>3159</v>
      </c>
      <c r="F39" t="s">
        <v>3087</v>
      </c>
      <c r="G39" t="s">
        <v>1616</v>
      </c>
    </row>
    <row r="40" spans="1:7" ht="11.25" customHeight="1">
      <c r="A40" s="97" t="s">
        <v>16</v>
      </c>
      <c r="B40" t="s">
        <v>100</v>
      </c>
      <c r="C40" t="s">
        <v>3083</v>
      </c>
      <c r="D40" t="s">
        <v>3160</v>
      </c>
      <c r="E40" t="s">
        <v>3161</v>
      </c>
      <c r="F40" t="s">
        <v>3090</v>
      </c>
      <c r="G40" t="s">
        <v>1621</v>
      </c>
    </row>
    <row r="41" spans="1:7" ht="11.25" customHeight="1">
      <c r="A41" s="97" t="s">
        <v>16</v>
      </c>
      <c r="B41" t="s">
        <v>100</v>
      </c>
      <c r="C41" t="s">
        <v>3083</v>
      </c>
      <c r="D41" t="s">
        <v>3162</v>
      </c>
      <c r="E41" t="s">
        <v>3163</v>
      </c>
      <c r="F41" t="s">
        <v>3090</v>
      </c>
      <c r="G41" t="s">
        <v>1625</v>
      </c>
    </row>
    <row r="42" spans="1:7" ht="11.25" customHeight="1">
      <c r="A42" s="97" t="s">
        <v>16</v>
      </c>
      <c r="B42" t="s">
        <v>100</v>
      </c>
      <c r="C42" t="s">
        <v>3083</v>
      </c>
      <c r="D42" t="s">
        <v>3164</v>
      </c>
      <c r="E42" t="s">
        <v>3165</v>
      </c>
      <c r="F42" t="s">
        <v>3090</v>
      </c>
      <c r="G42" t="s">
        <v>1628</v>
      </c>
    </row>
    <row r="43" spans="1:7" ht="11.25" customHeight="1">
      <c r="A43" s="97" t="s">
        <v>16</v>
      </c>
      <c r="B43" t="s">
        <v>100</v>
      </c>
      <c r="C43" t="s">
        <v>3083</v>
      </c>
      <c r="D43" t="s">
        <v>3166</v>
      </c>
      <c r="E43" t="s">
        <v>3167</v>
      </c>
      <c r="F43" t="s">
        <v>3087</v>
      </c>
      <c r="G43" t="s">
        <v>1635</v>
      </c>
    </row>
    <row r="44" spans="1:7" ht="11.25" customHeight="1">
      <c r="A44" s="97" t="s">
        <v>16</v>
      </c>
      <c r="B44" t="s">
        <v>100</v>
      </c>
      <c r="C44" t="s">
        <v>3083</v>
      </c>
      <c r="D44" t="s">
        <v>3168</v>
      </c>
      <c r="E44" t="s">
        <v>3169</v>
      </c>
      <c r="F44" t="s">
        <v>3087</v>
      </c>
      <c r="G44" t="s">
        <v>1644</v>
      </c>
    </row>
    <row r="45" spans="1:7" ht="11.25" customHeight="1">
      <c r="A45" s="97" t="s">
        <v>16</v>
      </c>
      <c r="B45" t="s">
        <v>100</v>
      </c>
      <c r="C45" t="s">
        <v>3083</v>
      </c>
      <c r="D45" t="s">
        <v>3170</v>
      </c>
      <c r="E45" t="s">
        <v>3171</v>
      </c>
      <c r="F45" t="s">
        <v>3090</v>
      </c>
      <c r="G45" t="s">
        <v>1649</v>
      </c>
    </row>
    <row r="46" spans="1:7" ht="11.25" customHeight="1">
      <c r="A46" s="97" t="s">
        <v>16</v>
      </c>
      <c r="B46" t="s">
        <v>100</v>
      </c>
      <c r="C46" t="s">
        <v>3083</v>
      </c>
      <c r="D46" t="s">
        <v>3172</v>
      </c>
      <c r="E46" t="s">
        <v>3173</v>
      </c>
      <c r="F46" t="s">
        <v>3090</v>
      </c>
      <c r="G46" t="s">
        <v>1652</v>
      </c>
    </row>
    <row r="47" spans="1:7" ht="11.25" customHeight="1">
      <c r="A47" s="97" t="s">
        <v>16</v>
      </c>
      <c r="B47" t="s">
        <v>100</v>
      </c>
      <c r="C47" t="s">
        <v>3083</v>
      </c>
      <c r="D47" t="s">
        <v>3174</v>
      </c>
      <c r="E47" t="s">
        <v>3175</v>
      </c>
      <c r="F47" t="s">
        <v>3087</v>
      </c>
      <c r="G47" t="s">
        <v>1658</v>
      </c>
    </row>
    <row r="48" spans="1:7" ht="11.25" customHeight="1">
      <c r="A48" s="97" t="s">
        <v>16</v>
      </c>
      <c r="B48" t="s">
        <v>100</v>
      </c>
      <c r="C48" t="s">
        <v>3083</v>
      </c>
      <c r="D48" t="s">
        <v>3176</v>
      </c>
      <c r="E48" t="s">
        <v>3177</v>
      </c>
      <c r="F48" t="s">
        <v>3087</v>
      </c>
      <c r="G48" t="s">
        <v>1663</v>
      </c>
    </row>
    <row r="49" spans="1:7" ht="11.25" customHeight="1">
      <c r="A49" s="97" t="s">
        <v>16</v>
      </c>
      <c r="B49" t="s">
        <v>100</v>
      </c>
      <c r="C49" t="s">
        <v>3083</v>
      </c>
      <c r="D49" t="s">
        <v>3178</v>
      </c>
      <c r="E49" t="s">
        <v>3179</v>
      </c>
      <c r="F49" t="s">
        <v>3090</v>
      </c>
      <c r="G49" t="s">
        <v>1666</v>
      </c>
    </row>
    <row r="50" spans="1:7" ht="11.25" customHeight="1">
      <c r="A50" s="97" t="s">
        <v>16</v>
      </c>
      <c r="B50" t="s">
        <v>100</v>
      </c>
      <c r="C50" t="s">
        <v>3083</v>
      </c>
      <c r="D50" t="s">
        <v>3180</v>
      </c>
      <c r="E50" t="s">
        <v>3181</v>
      </c>
      <c r="F50" t="s">
        <v>3090</v>
      </c>
      <c r="G50" t="s">
        <v>1670</v>
      </c>
    </row>
    <row r="51" spans="1:7" ht="11.25" customHeight="1">
      <c r="A51" s="97" t="s">
        <v>16</v>
      </c>
      <c r="B51" t="s">
        <v>100</v>
      </c>
      <c r="C51" t="s">
        <v>3083</v>
      </c>
      <c r="D51" t="s">
        <v>3182</v>
      </c>
      <c r="E51" t="s">
        <v>3183</v>
      </c>
      <c r="F51" t="s">
        <v>3090</v>
      </c>
      <c r="G51" t="s">
        <v>1675</v>
      </c>
    </row>
    <row r="52" spans="1:7" ht="11.25" customHeight="1">
      <c r="A52" s="97" t="s">
        <v>16</v>
      </c>
      <c r="B52" t="s">
        <v>100</v>
      </c>
      <c r="C52" t="s">
        <v>3083</v>
      </c>
      <c r="D52" t="s">
        <v>3184</v>
      </c>
      <c r="E52" t="s">
        <v>3185</v>
      </c>
      <c r="F52" t="s">
        <v>3090</v>
      </c>
      <c r="G52" t="s">
        <v>1679</v>
      </c>
    </row>
    <row r="53" spans="1:7" ht="11.25" customHeight="1">
      <c r="A53" s="97" t="s">
        <v>16</v>
      </c>
      <c r="B53" t="s">
        <v>100</v>
      </c>
      <c r="C53" t="s">
        <v>3083</v>
      </c>
      <c r="D53" t="s">
        <v>3186</v>
      </c>
      <c r="E53" t="s">
        <v>3187</v>
      </c>
      <c r="F53" t="s">
        <v>3090</v>
      </c>
      <c r="G53" t="s">
        <v>1681</v>
      </c>
    </row>
    <row r="54" spans="1:7" ht="11.25" customHeight="1">
      <c r="A54" s="97" t="s">
        <v>16</v>
      </c>
      <c r="B54" t="s">
        <v>100</v>
      </c>
      <c r="C54" t="s">
        <v>3083</v>
      </c>
      <c r="D54" t="s">
        <v>3188</v>
      </c>
      <c r="E54" t="s">
        <v>3189</v>
      </c>
      <c r="F54" t="s">
        <v>3090</v>
      </c>
      <c r="G54" t="s">
        <v>1684</v>
      </c>
    </row>
    <row r="55" spans="1:7" ht="11.25" customHeight="1">
      <c r="A55" s="97" t="s">
        <v>16</v>
      </c>
      <c r="B55" t="s">
        <v>100</v>
      </c>
      <c r="C55" t="s">
        <v>3083</v>
      </c>
      <c r="D55" t="s">
        <v>3190</v>
      </c>
      <c r="E55" t="s">
        <v>3191</v>
      </c>
      <c r="F55" t="s">
        <v>3090</v>
      </c>
      <c r="G55" t="s">
        <v>1688</v>
      </c>
    </row>
    <row r="56" spans="1:7" ht="11.25" customHeight="1">
      <c r="A56" s="97" t="s">
        <v>16</v>
      </c>
      <c r="B56" t="s">
        <v>100</v>
      </c>
      <c r="C56" t="s">
        <v>3083</v>
      </c>
      <c r="D56" t="s">
        <v>3192</v>
      </c>
      <c r="E56" t="s">
        <v>3193</v>
      </c>
      <c r="F56" t="s">
        <v>3090</v>
      </c>
      <c r="G56" t="s">
        <v>1691</v>
      </c>
    </row>
    <row r="57" spans="1:7" ht="11.25" customHeight="1">
      <c r="A57" s="97" t="s">
        <v>16</v>
      </c>
      <c r="B57" t="s">
        <v>100</v>
      </c>
      <c r="C57" t="s">
        <v>3083</v>
      </c>
      <c r="D57" t="s">
        <v>3194</v>
      </c>
      <c r="E57" t="s">
        <v>3195</v>
      </c>
      <c r="F57" t="s">
        <v>3090</v>
      </c>
      <c r="G57" t="s">
        <v>1694</v>
      </c>
    </row>
    <row r="58" spans="1:7" ht="11.25" customHeight="1">
      <c r="A58" s="97" t="s">
        <v>16</v>
      </c>
      <c r="B58" t="s">
        <v>100</v>
      </c>
      <c r="C58" t="s">
        <v>3083</v>
      </c>
      <c r="D58" t="s">
        <v>3196</v>
      </c>
      <c r="E58" t="s">
        <v>3197</v>
      </c>
      <c r="F58" t="s">
        <v>3087</v>
      </c>
      <c r="G58" t="s">
        <v>1697</v>
      </c>
    </row>
    <row r="59" spans="1:7" ht="11.25" customHeight="1">
      <c r="A59" s="97" t="s">
        <v>16</v>
      </c>
      <c r="B59" t="s">
        <v>100</v>
      </c>
      <c r="C59" t="s">
        <v>3083</v>
      </c>
      <c r="D59" t="s">
        <v>3198</v>
      </c>
      <c r="E59" t="s">
        <v>3199</v>
      </c>
      <c r="F59" t="s">
        <v>3090</v>
      </c>
      <c r="G59" t="s">
        <v>1701</v>
      </c>
    </row>
    <row r="60" spans="1:7" ht="11.25" customHeight="1">
      <c r="A60" s="97" t="s">
        <v>16</v>
      </c>
      <c r="B60" t="s">
        <v>100</v>
      </c>
      <c r="C60" t="s">
        <v>3083</v>
      </c>
      <c r="D60" t="s">
        <v>3200</v>
      </c>
      <c r="E60" t="s">
        <v>3201</v>
      </c>
      <c r="F60" t="s">
        <v>3090</v>
      </c>
      <c r="G60" t="s">
        <v>1704</v>
      </c>
    </row>
    <row r="61" spans="1:7" ht="11.25" customHeight="1">
      <c r="A61" s="97" t="s">
        <v>16</v>
      </c>
      <c r="B61" t="s">
        <v>100</v>
      </c>
      <c r="C61" t="s">
        <v>3083</v>
      </c>
      <c r="D61" t="s">
        <v>3202</v>
      </c>
      <c r="E61" t="s">
        <v>3203</v>
      </c>
      <c r="F61" t="s">
        <v>3090</v>
      </c>
      <c r="G61" t="s">
        <v>3204</v>
      </c>
    </row>
    <row r="62" spans="1:7" ht="11.25" customHeight="1">
      <c r="A62" s="97" t="s">
        <v>16</v>
      </c>
      <c r="B62" t="s">
        <v>100</v>
      </c>
      <c r="C62" t="s">
        <v>3083</v>
      </c>
      <c r="D62" t="s">
        <v>3205</v>
      </c>
      <c r="E62" t="s">
        <v>3206</v>
      </c>
      <c r="F62" t="s">
        <v>3090</v>
      </c>
      <c r="G62" t="s">
        <v>3207</v>
      </c>
    </row>
    <row r="63" spans="1:7" ht="11.25" customHeight="1">
      <c r="A63" s="97" t="s">
        <v>16</v>
      </c>
      <c r="B63" t="s">
        <v>100</v>
      </c>
      <c r="C63" t="s">
        <v>3083</v>
      </c>
      <c r="D63" t="s">
        <v>3208</v>
      </c>
      <c r="E63" t="s">
        <v>3209</v>
      </c>
      <c r="F63" t="s">
        <v>3090</v>
      </c>
      <c r="G63" t="s">
        <v>3210</v>
      </c>
    </row>
    <row r="64" spans="1:7" ht="11.25" customHeight="1">
      <c r="A64" s="97" t="s">
        <v>16</v>
      </c>
      <c r="B64" t="s">
        <v>100</v>
      </c>
      <c r="C64" t="s">
        <v>3083</v>
      </c>
      <c r="D64" t="s">
        <v>3211</v>
      </c>
      <c r="E64" t="s">
        <v>3212</v>
      </c>
      <c r="F64" t="s">
        <v>3090</v>
      </c>
      <c r="G64" t="s">
        <v>3213</v>
      </c>
    </row>
    <row r="65" spans="1:7" ht="11.25" customHeight="1">
      <c r="A65" s="97" t="s">
        <v>16</v>
      </c>
      <c r="B65" t="s">
        <v>100</v>
      </c>
      <c r="C65" t="s">
        <v>3083</v>
      </c>
      <c r="D65" t="s">
        <v>3214</v>
      </c>
      <c r="E65" t="s">
        <v>3215</v>
      </c>
      <c r="F65" t="s">
        <v>3090</v>
      </c>
      <c r="G65" t="s">
        <v>3216</v>
      </c>
    </row>
    <row r="66" spans="1:7" ht="11.25" customHeight="1">
      <c r="A66" s="97" t="s">
        <v>16</v>
      </c>
      <c r="B66" t="s">
        <v>100</v>
      </c>
      <c r="C66" t="s">
        <v>3083</v>
      </c>
      <c r="D66" t="s">
        <v>3217</v>
      </c>
      <c r="E66" t="s">
        <v>3218</v>
      </c>
      <c r="F66" t="s">
        <v>3090</v>
      </c>
      <c r="G66" t="s">
        <v>3219</v>
      </c>
    </row>
    <row r="67" spans="1:7" ht="11.25" customHeight="1">
      <c r="A67" s="97" t="s">
        <v>16</v>
      </c>
      <c r="B67" t="s">
        <v>100</v>
      </c>
      <c r="C67" t="s">
        <v>3083</v>
      </c>
      <c r="D67" t="s">
        <v>3220</v>
      </c>
      <c r="E67" t="s">
        <v>3221</v>
      </c>
      <c r="F67" t="s">
        <v>3090</v>
      </c>
      <c r="G67" t="s">
        <v>2022</v>
      </c>
    </row>
    <row r="68" spans="1:7" ht="11.25" customHeight="1">
      <c r="A68" s="97" t="s">
        <v>16</v>
      </c>
      <c r="B68" t="s">
        <v>100</v>
      </c>
      <c r="C68" t="s">
        <v>3083</v>
      </c>
      <c r="D68" t="s">
        <v>3222</v>
      </c>
      <c r="E68" t="s">
        <v>3223</v>
      </c>
      <c r="F68" t="s">
        <v>3090</v>
      </c>
      <c r="G68" t="s">
        <v>3224</v>
      </c>
    </row>
    <row r="69" spans="1:7" ht="11.25" customHeight="1">
      <c r="A69" s="97" t="s">
        <v>16</v>
      </c>
      <c r="B69" t="s">
        <v>100</v>
      </c>
      <c r="C69" t="s">
        <v>3083</v>
      </c>
      <c r="D69" t="s">
        <v>3225</v>
      </c>
      <c r="E69" t="s">
        <v>3226</v>
      </c>
      <c r="F69" t="s">
        <v>3090</v>
      </c>
      <c r="G69" t="s">
        <v>2225</v>
      </c>
    </row>
    <row r="70" spans="1:7" ht="11.25" customHeight="1">
      <c r="A70" s="97" t="s">
        <v>16</v>
      </c>
      <c r="B70" t="s">
        <v>100</v>
      </c>
      <c r="C70" t="s">
        <v>3083</v>
      </c>
      <c r="D70" t="s">
        <v>3227</v>
      </c>
      <c r="E70" t="s">
        <v>3228</v>
      </c>
      <c r="F70" t="s">
        <v>3087</v>
      </c>
      <c r="G70" t="s">
        <v>3229</v>
      </c>
    </row>
    <row r="71" spans="1:7" ht="11.25" customHeight="1">
      <c r="A71" s="97" t="s">
        <v>16</v>
      </c>
      <c r="B71" t="s">
        <v>100</v>
      </c>
      <c r="C71" t="s">
        <v>3083</v>
      </c>
      <c r="D71" t="s">
        <v>3230</v>
      </c>
      <c r="E71" t="s">
        <v>3231</v>
      </c>
      <c r="F71" t="s">
        <v>3087</v>
      </c>
      <c r="G71" t="s">
        <v>3232</v>
      </c>
    </row>
    <row r="72" spans="1:7" ht="11.25" customHeight="1">
      <c r="A72" s="97" t="s">
        <v>16</v>
      </c>
      <c r="B72" t="s">
        <v>100</v>
      </c>
      <c r="C72" t="s">
        <v>3083</v>
      </c>
      <c r="D72" t="s">
        <v>3233</v>
      </c>
      <c r="E72" t="s">
        <v>3234</v>
      </c>
      <c r="F72" t="s">
        <v>3087</v>
      </c>
      <c r="G72" t="s">
        <v>3235</v>
      </c>
    </row>
    <row r="73" spans="1:7" ht="11.25" customHeight="1">
      <c r="A73" s="97" t="s">
        <v>16</v>
      </c>
      <c r="B73" t="s">
        <v>100</v>
      </c>
      <c r="C73" t="s">
        <v>3083</v>
      </c>
      <c r="D73" t="s">
        <v>3236</v>
      </c>
      <c r="E73" t="s">
        <v>3237</v>
      </c>
      <c r="F73" t="s">
        <v>3087</v>
      </c>
      <c r="G73" t="s">
        <v>3238</v>
      </c>
    </row>
    <row r="74" spans="1:7" ht="11.25" customHeight="1">
      <c r="A74" s="97" t="s">
        <v>16</v>
      </c>
      <c r="B74" t="s">
        <v>100</v>
      </c>
      <c r="C74" t="s">
        <v>3083</v>
      </c>
      <c r="D74" t="s">
        <v>3239</v>
      </c>
      <c r="E74" t="s">
        <v>3240</v>
      </c>
      <c r="F74" t="s">
        <v>3090</v>
      </c>
      <c r="G74" t="s">
        <v>3241</v>
      </c>
    </row>
    <row r="75" spans="1:7" ht="11.25" customHeight="1">
      <c r="A75" s="97" t="s">
        <v>16</v>
      </c>
      <c r="B75" t="s">
        <v>100</v>
      </c>
      <c r="C75" t="s">
        <v>3083</v>
      </c>
      <c r="D75" t="s">
        <v>3242</v>
      </c>
      <c r="E75" t="s">
        <v>3243</v>
      </c>
      <c r="F75" t="s">
        <v>3090</v>
      </c>
      <c r="G75" t="s">
        <v>3244</v>
      </c>
    </row>
    <row r="76" spans="1:7" ht="11.25" customHeight="1">
      <c r="A76" s="97" t="s">
        <v>16</v>
      </c>
      <c r="B76" t="s">
        <v>100</v>
      </c>
      <c r="C76" t="s">
        <v>3083</v>
      </c>
      <c r="D76" t="s">
        <v>3245</v>
      </c>
      <c r="E76" t="s">
        <v>3246</v>
      </c>
      <c r="F76" t="s">
        <v>3090</v>
      </c>
      <c r="G76" t="s">
        <v>3247</v>
      </c>
    </row>
    <row r="77" spans="1:7" ht="11.25" customHeight="1">
      <c r="A77" s="97" t="s">
        <v>16</v>
      </c>
      <c r="B77" t="s">
        <v>100</v>
      </c>
      <c r="C77" t="s">
        <v>3083</v>
      </c>
      <c r="D77" t="s">
        <v>3248</v>
      </c>
      <c r="E77" t="s">
        <v>3249</v>
      </c>
      <c r="F77" t="s">
        <v>3090</v>
      </c>
      <c r="G77" t="s">
        <v>3250</v>
      </c>
    </row>
    <row r="78" spans="1:7" ht="11.25" customHeight="1">
      <c r="A78" s="97" t="s">
        <v>16</v>
      </c>
      <c r="B78" t="s">
        <v>100</v>
      </c>
      <c r="C78" t="s">
        <v>3083</v>
      </c>
      <c r="D78" t="s">
        <v>3251</v>
      </c>
      <c r="E78" t="s">
        <v>3252</v>
      </c>
      <c r="F78" t="s">
        <v>3090</v>
      </c>
      <c r="G78" t="s">
        <v>3253</v>
      </c>
    </row>
    <row r="79" spans="1:7" ht="11.25" customHeight="1">
      <c r="A79" s="97" t="s">
        <v>16</v>
      </c>
      <c r="B79" t="s">
        <v>100</v>
      </c>
      <c r="C79" t="s">
        <v>3083</v>
      </c>
      <c r="D79" t="s">
        <v>3254</v>
      </c>
      <c r="E79" t="s">
        <v>3255</v>
      </c>
      <c r="F79" t="s">
        <v>3087</v>
      </c>
      <c r="G79" t="s">
        <v>3256</v>
      </c>
    </row>
    <row r="80" spans="1:7" ht="11.25" customHeight="1">
      <c r="A80" s="97" t="s">
        <v>16</v>
      </c>
      <c r="B80" t="s">
        <v>100</v>
      </c>
      <c r="C80" t="s">
        <v>3083</v>
      </c>
      <c r="D80" t="s">
        <v>3257</v>
      </c>
      <c r="E80" t="s">
        <v>3258</v>
      </c>
      <c r="F80" t="s">
        <v>3087</v>
      </c>
      <c r="G80" t="s">
        <v>3259</v>
      </c>
    </row>
    <row r="81" spans="1:7" ht="11.25" customHeight="1">
      <c r="A81" s="97" t="s">
        <v>16</v>
      </c>
      <c r="B81" t="s">
        <v>100</v>
      </c>
      <c r="C81" t="s">
        <v>3083</v>
      </c>
      <c r="D81" t="s">
        <v>3260</v>
      </c>
      <c r="E81" t="s">
        <v>3261</v>
      </c>
      <c r="F81" t="s">
        <v>3087</v>
      </c>
      <c r="G81" t="s">
        <v>3262</v>
      </c>
    </row>
    <row r="82" spans="1:7" ht="11.25" customHeight="1">
      <c r="A82" s="97" t="s">
        <v>16</v>
      </c>
      <c r="B82" t="s">
        <v>100</v>
      </c>
      <c r="C82" t="s">
        <v>3083</v>
      </c>
      <c r="D82" t="s">
        <v>3263</v>
      </c>
      <c r="E82" t="s">
        <v>3264</v>
      </c>
      <c r="F82" t="s">
        <v>3090</v>
      </c>
      <c r="G82" t="s">
        <v>3265</v>
      </c>
    </row>
    <row r="83" spans="1:7" ht="11.25" customHeight="1">
      <c r="A83" s="97" t="s">
        <v>16</v>
      </c>
      <c r="B83" t="s">
        <v>100</v>
      </c>
      <c r="C83" t="s">
        <v>3083</v>
      </c>
      <c r="D83" t="s">
        <v>3266</v>
      </c>
      <c r="E83" t="s">
        <v>3267</v>
      </c>
      <c r="F83" t="s">
        <v>3090</v>
      </c>
      <c r="G83" t="s">
        <v>3268</v>
      </c>
    </row>
    <row r="84" spans="1:7" ht="11.25" customHeight="1">
      <c r="A84" s="97" t="s">
        <v>16</v>
      </c>
      <c r="B84" t="s">
        <v>100</v>
      </c>
      <c r="C84" t="s">
        <v>3083</v>
      </c>
      <c r="D84" t="s">
        <v>3269</v>
      </c>
      <c r="E84" t="s">
        <v>3270</v>
      </c>
      <c r="F84" t="s">
        <v>3090</v>
      </c>
      <c r="G84" t="s">
        <v>3271</v>
      </c>
    </row>
    <row r="85" spans="1:7" ht="11.25" customHeight="1">
      <c r="A85" s="97" t="s">
        <v>16</v>
      </c>
      <c r="B85" t="s">
        <v>100</v>
      </c>
      <c r="C85" t="s">
        <v>3083</v>
      </c>
      <c r="D85" t="s">
        <v>3272</v>
      </c>
      <c r="E85" t="s">
        <v>3273</v>
      </c>
      <c r="F85" t="s">
        <v>3090</v>
      </c>
      <c r="G85" t="s">
        <v>3274</v>
      </c>
    </row>
    <row r="86" spans="1:7" ht="11.25" customHeight="1">
      <c r="A86" s="97" t="s">
        <v>16</v>
      </c>
      <c r="B86" t="s">
        <v>100</v>
      </c>
      <c r="C86" t="s">
        <v>3083</v>
      </c>
      <c r="D86" t="s">
        <v>3275</v>
      </c>
      <c r="E86" t="s">
        <v>3276</v>
      </c>
      <c r="F86" t="s">
        <v>3090</v>
      </c>
      <c r="G86" t="s">
        <v>3277</v>
      </c>
    </row>
    <row r="87" spans="1:7" ht="11.25" customHeight="1">
      <c r="A87" s="97" t="s">
        <v>16</v>
      </c>
      <c r="B87" t="s">
        <v>100</v>
      </c>
      <c r="C87" t="s">
        <v>3083</v>
      </c>
      <c r="D87" t="s">
        <v>3278</v>
      </c>
      <c r="E87" t="s">
        <v>3279</v>
      </c>
      <c r="F87" t="s">
        <v>3090</v>
      </c>
      <c r="G87" t="s">
        <v>3280</v>
      </c>
    </row>
    <row r="88" spans="1:7" ht="11.25" customHeight="1">
      <c r="A88" s="97" t="s">
        <v>16</v>
      </c>
      <c r="B88" t="s">
        <v>100</v>
      </c>
      <c r="C88" t="s">
        <v>3083</v>
      </c>
      <c r="D88" t="s">
        <v>3281</v>
      </c>
      <c r="E88" t="s">
        <v>3282</v>
      </c>
      <c r="F88" t="s">
        <v>3090</v>
      </c>
      <c r="G88" t="s">
        <v>3283</v>
      </c>
    </row>
    <row r="89" spans="1:7" ht="11.25" customHeight="1">
      <c r="A89" s="97" t="s">
        <v>16</v>
      </c>
      <c r="B89" t="s">
        <v>100</v>
      </c>
      <c r="C89" t="s">
        <v>3083</v>
      </c>
      <c r="D89" t="s">
        <v>3284</v>
      </c>
      <c r="E89" t="s">
        <v>3285</v>
      </c>
      <c r="F89" t="s">
        <v>3090</v>
      </c>
      <c r="G89" t="s">
        <v>3286</v>
      </c>
    </row>
    <row r="90" spans="1:7" ht="11.25" customHeight="1">
      <c r="A90" s="97" t="s">
        <v>16</v>
      </c>
      <c r="B90" t="s">
        <v>100</v>
      </c>
      <c r="C90" t="s">
        <v>3083</v>
      </c>
      <c r="D90" t="s">
        <v>3287</v>
      </c>
      <c r="E90" t="s">
        <v>3288</v>
      </c>
      <c r="F90" t="s">
        <v>3090</v>
      </c>
      <c r="G90" t="s">
        <v>3289</v>
      </c>
    </row>
    <row r="91" spans="1:7" ht="11.25" customHeight="1">
      <c r="A91" s="97" t="s">
        <v>16</v>
      </c>
      <c r="B91" t="s">
        <v>100</v>
      </c>
      <c r="C91" t="s">
        <v>3083</v>
      </c>
      <c r="D91" t="s">
        <v>3290</v>
      </c>
      <c r="E91" t="s">
        <v>3291</v>
      </c>
      <c r="F91" t="s">
        <v>3090</v>
      </c>
      <c r="G91" t="s">
        <v>3292</v>
      </c>
    </row>
    <row r="92" spans="1:7" ht="11.25" customHeight="1">
      <c r="A92" s="97" t="s">
        <v>16</v>
      </c>
      <c r="B92" t="s">
        <v>100</v>
      </c>
      <c r="C92" t="s">
        <v>3083</v>
      </c>
      <c r="D92" t="s">
        <v>3293</v>
      </c>
      <c r="E92" t="s">
        <v>3294</v>
      </c>
      <c r="F92" t="s">
        <v>3090</v>
      </c>
      <c r="G92" t="s">
        <v>3295</v>
      </c>
    </row>
    <row r="93" spans="1:7" ht="11.25" customHeight="1">
      <c r="A93" s="97" t="s">
        <v>16</v>
      </c>
      <c r="B93" t="s">
        <v>100</v>
      </c>
      <c r="C93" t="s">
        <v>3083</v>
      </c>
      <c r="D93" t="s">
        <v>3296</v>
      </c>
      <c r="E93" t="s">
        <v>3297</v>
      </c>
      <c r="F93" t="s">
        <v>3090</v>
      </c>
      <c r="G93" t="s">
        <v>3298</v>
      </c>
    </row>
    <row r="94" spans="1:7" ht="11.25" customHeight="1">
      <c r="A94" s="97" t="s">
        <v>16</v>
      </c>
      <c r="B94" t="s">
        <v>100</v>
      </c>
      <c r="C94" t="s">
        <v>3083</v>
      </c>
      <c r="D94" t="s">
        <v>3299</v>
      </c>
      <c r="E94" t="s">
        <v>3300</v>
      </c>
      <c r="F94" t="s">
        <v>3090</v>
      </c>
      <c r="G94" t="s">
        <v>3301</v>
      </c>
    </row>
    <row r="95" spans="1:7" ht="11.25" customHeight="1">
      <c r="A95" s="97" t="s">
        <v>16</v>
      </c>
      <c r="B95" t="s">
        <v>100</v>
      </c>
      <c r="C95" t="s">
        <v>3083</v>
      </c>
      <c r="D95" t="s">
        <v>3302</v>
      </c>
      <c r="E95" t="s">
        <v>3303</v>
      </c>
      <c r="F95" t="s">
        <v>3090</v>
      </c>
      <c r="G95" t="s">
        <v>3304</v>
      </c>
    </row>
    <row r="96" spans="1:7" ht="11.25" customHeight="1">
      <c r="A96" s="97" t="s">
        <v>16</v>
      </c>
      <c r="B96" t="s">
        <v>100</v>
      </c>
      <c r="C96" t="s">
        <v>3083</v>
      </c>
      <c r="D96" t="s">
        <v>3305</v>
      </c>
      <c r="E96" t="s">
        <v>3306</v>
      </c>
      <c r="F96" t="s">
        <v>3090</v>
      </c>
      <c r="G96" t="s">
        <v>3307</v>
      </c>
    </row>
    <row r="97" spans="1:7" ht="11.25" customHeight="1">
      <c r="A97" s="97" t="s">
        <v>16</v>
      </c>
      <c r="B97" t="s">
        <v>100</v>
      </c>
      <c r="C97" t="s">
        <v>3083</v>
      </c>
      <c r="D97" t="s">
        <v>3308</v>
      </c>
      <c r="E97" t="s">
        <v>3309</v>
      </c>
      <c r="F97" t="s">
        <v>3087</v>
      </c>
      <c r="G97" t="s">
        <v>3310</v>
      </c>
    </row>
    <row r="98" spans="1:7" ht="11.25" customHeight="1">
      <c r="A98" s="97" t="s">
        <v>16</v>
      </c>
      <c r="B98" t="s">
        <v>100</v>
      </c>
      <c r="C98" t="s">
        <v>3083</v>
      </c>
      <c r="D98" t="s">
        <v>3311</v>
      </c>
      <c r="E98" t="s">
        <v>3312</v>
      </c>
      <c r="F98" t="s">
        <v>3090</v>
      </c>
      <c r="G98" t="s">
        <v>3313</v>
      </c>
    </row>
    <row r="99" spans="1:7" ht="11.25" customHeight="1">
      <c r="A99" s="97" t="s">
        <v>16</v>
      </c>
      <c r="B99" t="s">
        <v>100</v>
      </c>
      <c r="C99" t="s">
        <v>3083</v>
      </c>
      <c r="D99" t="s">
        <v>3314</v>
      </c>
      <c r="E99" t="s">
        <v>3315</v>
      </c>
      <c r="F99" t="s">
        <v>3090</v>
      </c>
      <c r="G99" t="s">
        <v>3316</v>
      </c>
    </row>
    <row r="100" spans="1:7" ht="11.25" customHeight="1">
      <c r="A100" s="97" t="s">
        <v>16</v>
      </c>
      <c r="B100" t="s">
        <v>100</v>
      </c>
      <c r="C100" t="s">
        <v>3083</v>
      </c>
      <c r="D100" t="s">
        <v>3317</v>
      </c>
      <c r="E100" t="s">
        <v>3318</v>
      </c>
      <c r="F100" t="s">
        <v>3090</v>
      </c>
      <c r="G100" t="s">
        <v>3319</v>
      </c>
    </row>
    <row r="101" spans="1:7" ht="11.25" customHeight="1">
      <c r="A101" s="97" t="s">
        <v>16</v>
      </c>
      <c r="B101" t="s">
        <v>100</v>
      </c>
      <c r="C101" t="s">
        <v>3083</v>
      </c>
      <c r="D101" t="s">
        <v>3320</v>
      </c>
      <c r="E101" t="s">
        <v>3321</v>
      </c>
      <c r="F101" t="s">
        <v>3090</v>
      </c>
      <c r="G101" t="s">
        <v>3322</v>
      </c>
    </row>
    <row r="102" spans="1:7" ht="11.25" customHeight="1">
      <c r="A102" s="97" t="s">
        <v>16</v>
      </c>
      <c r="B102" t="s">
        <v>100</v>
      </c>
      <c r="C102" t="s">
        <v>3083</v>
      </c>
      <c r="D102" t="s">
        <v>3323</v>
      </c>
      <c r="E102" t="s">
        <v>3324</v>
      </c>
      <c r="F102" t="s">
        <v>3090</v>
      </c>
      <c r="G102" t="s">
        <v>3325</v>
      </c>
    </row>
    <row r="103" spans="1:7" ht="11.25" customHeight="1">
      <c r="A103" s="97" t="s">
        <v>16</v>
      </c>
      <c r="B103" t="s">
        <v>100</v>
      </c>
      <c r="C103" t="s">
        <v>3083</v>
      </c>
      <c r="D103" t="s">
        <v>3326</v>
      </c>
      <c r="E103" t="s">
        <v>3327</v>
      </c>
      <c r="F103" t="s">
        <v>3090</v>
      </c>
      <c r="G103" t="s">
        <v>3328</v>
      </c>
    </row>
    <row r="104" spans="1:7" ht="11.25" customHeight="1">
      <c r="A104" s="97" t="s">
        <v>16</v>
      </c>
      <c r="B104" t="s">
        <v>100</v>
      </c>
      <c r="C104" t="s">
        <v>3083</v>
      </c>
      <c r="D104" t="s">
        <v>3329</v>
      </c>
      <c r="E104" t="s">
        <v>3330</v>
      </c>
      <c r="F104" t="s">
        <v>3090</v>
      </c>
      <c r="G104" t="s">
        <v>3331</v>
      </c>
    </row>
    <row r="105" spans="1:7" ht="11.25" customHeight="1">
      <c r="A105" s="97" t="s">
        <v>16</v>
      </c>
      <c r="B105" t="s">
        <v>100</v>
      </c>
      <c r="C105" t="s">
        <v>3083</v>
      </c>
      <c r="D105" t="s">
        <v>3332</v>
      </c>
      <c r="E105" t="s">
        <v>3333</v>
      </c>
      <c r="F105" t="s">
        <v>3090</v>
      </c>
      <c r="G105" t="s">
        <v>3334</v>
      </c>
    </row>
    <row r="106" spans="1:7" ht="11.25" customHeight="1">
      <c r="A106" s="97" t="s">
        <v>16</v>
      </c>
      <c r="B106" t="s">
        <v>100</v>
      </c>
      <c r="C106" t="s">
        <v>3083</v>
      </c>
      <c r="D106" t="s">
        <v>3335</v>
      </c>
      <c r="E106" t="s">
        <v>3336</v>
      </c>
      <c r="F106" t="s">
        <v>3090</v>
      </c>
      <c r="G106" t="s">
        <v>3337</v>
      </c>
    </row>
    <row r="107" spans="1:7" ht="11.25" customHeight="1">
      <c r="A107" s="97" t="s">
        <v>16</v>
      </c>
      <c r="B107" t="s">
        <v>100</v>
      </c>
      <c r="C107" t="s">
        <v>3083</v>
      </c>
      <c r="D107" t="s">
        <v>3338</v>
      </c>
      <c r="E107" t="s">
        <v>3339</v>
      </c>
      <c r="F107" t="s">
        <v>3087</v>
      </c>
      <c r="G107" t="s">
        <v>3340</v>
      </c>
    </row>
    <row r="108" spans="1:7" ht="11.25" customHeight="1">
      <c r="A108" s="97" t="s">
        <v>16</v>
      </c>
      <c r="B108" t="s">
        <v>100</v>
      </c>
      <c r="C108" t="s">
        <v>3083</v>
      </c>
      <c r="D108" t="s">
        <v>3341</v>
      </c>
      <c r="E108" t="s">
        <v>3342</v>
      </c>
      <c r="F108" t="s">
        <v>3090</v>
      </c>
      <c r="G108" t="s">
        <v>3343</v>
      </c>
    </row>
    <row r="109" spans="1:7" ht="11.25" customHeight="1">
      <c r="A109" s="97" t="s">
        <v>16</v>
      </c>
      <c r="B109" t="s">
        <v>100</v>
      </c>
      <c r="C109" t="s">
        <v>3083</v>
      </c>
      <c r="D109" t="s">
        <v>3344</v>
      </c>
      <c r="E109" t="s">
        <v>3345</v>
      </c>
      <c r="F109" t="s">
        <v>3090</v>
      </c>
      <c r="G109" t="s">
        <v>3346</v>
      </c>
    </row>
    <row r="110" spans="1:7" ht="11.25" customHeight="1">
      <c r="A110" s="97" t="s">
        <v>16</v>
      </c>
      <c r="B110" t="s">
        <v>100</v>
      </c>
      <c r="C110" t="s">
        <v>3083</v>
      </c>
      <c r="D110" t="s">
        <v>3347</v>
      </c>
      <c r="E110" t="s">
        <v>3348</v>
      </c>
      <c r="F110" t="s">
        <v>3090</v>
      </c>
      <c r="G110" t="s">
        <v>3349</v>
      </c>
    </row>
    <row r="111" spans="1:7" ht="11.25" customHeight="1">
      <c r="A111" s="97" t="s">
        <v>16</v>
      </c>
      <c r="B111" t="s">
        <v>100</v>
      </c>
      <c r="C111" t="s">
        <v>3083</v>
      </c>
      <c r="D111" t="s">
        <v>3350</v>
      </c>
      <c r="E111" t="s">
        <v>3351</v>
      </c>
      <c r="F111" t="s">
        <v>3090</v>
      </c>
      <c r="G111" t="s">
        <v>3352</v>
      </c>
    </row>
    <row r="112" spans="1:7" ht="11.25" customHeight="1">
      <c r="A112" s="97" t="s">
        <v>16</v>
      </c>
      <c r="B112" t="s">
        <v>100</v>
      </c>
      <c r="C112" t="s">
        <v>3083</v>
      </c>
      <c r="D112" t="s">
        <v>3353</v>
      </c>
      <c r="E112" t="s">
        <v>3354</v>
      </c>
      <c r="F112" t="s">
        <v>3087</v>
      </c>
      <c r="G112" t="s">
        <v>3355</v>
      </c>
    </row>
    <row r="113" spans="1:7" ht="11.25" customHeight="1">
      <c r="A113" s="97" t="s">
        <v>16</v>
      </c>
      <c r="B113" t="s">
        <v>100</v>
      </c>
      <c r="C113" t="s">
        <v>3083</v>
      </c>
      <c r="D113" t="s">
        <v>3356</v>
      </c>
      <c r="E113" t="s">
        <v>3357</v>
      </c>
      <c r="F113" t="s">
        <v>3090</v>
      </c>
      <c r="G113" t="s">
        <v>3358</v>
      </c>
    </row>
    <row r="114" spans="1:7" ht="11.25" customHeight="1">
      <c r="A114" s="97" t="s">
        <v>16</v>
      </c>
      <c r="B114" t="s">
        <v>100</v>
      </c>
      <c r="C114" t="s">
        <v>3083</v>
      </c>
      <c r="D114" t="s">
        <v>3359</v>
      </c>
      <c r="E114" t="s">
        <v>3360</v>
      </c>
      <c r="F114" t="s">
        <v>3090</v>
      </c>
      <c r="G114" t="s">
        <v>3361</v>
      </c>
    </row>
    <row r="115" spans="1:7" ht="11.25" customHeight="1">
      <c r="A115" s="97" t="s">
        <v>16</v>
      </c>
      <c r="B115" t="s">
        <v>100</v>
      </c>
      <c r="C115" t="s">
        <v>3083</v>
      </c>
      <c r="D115" t="s">
        <v>3362</v>
      </c>
      <c r="E115" t="s">
        <v>3363</v>
      </c>
      <c r="F115" t="s">
        <v>3090</v>
      </c>
      <c r="G115" t="s">
        <v>3364</v>
      </c>
    </row>
    <row r="116" spans="1:7" ht="11.25" customHeight="1">
      <c r="A116" s="97" t="s">
        <v>16</v>
      </c>
      <c r="B116" t="s">
        <v>100</v>
      </c>
      <c r="C116" t="s">
        <v>3083</v>
      </c>
      <c r="D116" t="s">
        <v>3365</v>
      </c>
      <c r="E116" t="s">
        <v>3366</v>
      </c>
      <c r="F116" t="s">
        <v>3090</v>
      </c>
      <c r="G116" t="s">
        <v>3367</v>
      </c>
    </row>
    <row r="117" spans="1:7" ht="11.25" customHeight="1">
      <c r="A117" s="97" t="s">
        <v>16</v>
      </c>
      <c r="B117" t="s">
        <v>100</v>
      </c>
      <c r="C117" t="s">
        <v>3083</v>
      </c>
      <c r="D117" t="s">
        <v>3368</v>
      </c>
      <c r="E117" t="s">
        <v>3369</v>
      </c>
      <c r="F117" t="s">
        <v>3087</v>
      </c>
      <c r="G117" t="s">
        <v>3370</v>
      </c>
    </row>
    <row r="118" spans="1:7" ht="11.25" customHeight="1">
      <c r="A118" s="97" t="s">
        <v>16</v>
      </c>
      <c r="B118" t="s">
        <v>100</v>
      </c>
      <c r="C118" t="s">
        <v>3083</v>
      </c>
      <c r="D118" t="s">
        <v>3371</v>
      </c>
      <c r="E118" t="s">
        <v>3372</v>
      </c>
      <c r="F118" t="s">
        <v>3090</v>
      </c>
      <c r="G118" t="s">
        <v>3373</v>
      </c>
    </row>
    <row r="119" spans="1:7" ht="11.25" customHeight="1">
      <c r="A119" s="97" t="s">
        <v>16</v>
      </c>
      <c r="B119" t="s">
        <v>100</v>
      </c>
      <c r="C119" t="s">
        <v>3083</v>
      </c>
      <c r="D119" t="s">
        <v>3374</v>
      </c>
      <c r="E119" t="s">
        <v>3375</v>
      </c>
      <c r="F119" t="s">
        <v>3090</v>
      </c>
      <c r="G119" t="s">
        <v>3376</v>
      </c>
    </row>
    <row r="120" spans="1:7" ht="11.25" customHeight="1">
      <c r="A120" s="97" t="s">
        <v>16</v>
      </c>
      <c r="B120" t="s">
        <v>100</v>
      </c>
      <c r="C120" t="s">
        <v>3083</v>
      </c>
      <c r="D120" t="s">
        <v>3377</v>
      </c>
      <c r="E120" t="s">
        <v>3378</v>
      </c>
      <c r="F120" t="s">
        <v>3090</v>
      </c>
      <c r="G120" t="s">
        <v>3379</v>
      </c>
    </row>
    <row r="121" spans="1:7" ht="11.25" customHeight="1">
      <c r="A121" s="97" t="s">
        <v>16</v>
      </c>
      <c r="B121" t="s">
        <v>100</v>
      </c>
      <c r="C121" t="s">
        <v>3083</v>
      </c>
      <c r="D121" t="s">
        <v>3380</v>
      </c>
      <c r="E121" t="s">
        <v>3381</v>
      </c>
      <c r="F121" t="s">
        <v>3090</v>
      </c>
      <c r="G121" t="s">
        <v>3382</v>
      </c>
    </row>
    <row r="122" spans="1:7" ht="11.25" customHeight="1">
      <c r="A122" s="97" t="s">
        <v>16</v>
      </c>
      <c r="B122" t="s">
        <v>100</v>
      </c>
      <c r="C122" t="s">
        <v>3083</v>
      </c>
      <c r="D122" t="s">
        <v>3383</v>
      </c>
      <c r="E122" t="s">
        <v>3384</v>
      </c>
      <c r="F122" t="s">
        <v>3087</v>
      </c>
      <c r="G122" t="s">
        <v>3385</v>
      </c>
    </row>
    <row r="123" spans="1:7" ht="11.25" customHeight="1">
      <c r="A123" s="97" t="s">
        <v>16</v>
      </c>
      <c r="B123" t="s">
        <v>100</v>
      </c>
      <c r="C123" t="s">
        <v>3083</v>
      </c>
      <c r="D123" t="s">
        <v>3386</v>
      </c>
      <c r="E123" t="s">
        <v>3387</v>
      </c>
      <c r="F123" t="s">
        <v>3087</v>
      </c>
      <c r="G123" t="s">
        <v>3388</v>
      </c>
    </row>
    <row r="124" spans="1:7" ht="11.25" customHeight="1">
      <c r="A124" s="97" t="s">
        <v>16</v>
      </c>
      <c r="B124" t="s">
        <v>100</v>
      </c>
      <c r="C124" t="s">
        <v>3083</v>
      </c>
      <c r="D124" t="s">
        <v>3389</v>
      </c>
      <c r="E124" t="s">
        <v>3390</v>
      </c>
      <c r="F124" t="s">
        <v>3087</v>
      </c>
      <c r="G124" t="s">
        <v>3391</v>
      </c>
    </row>
    <row r="125" spans="1:7" ht="11.25" customHeight="1">
      <c r="A125" s="97" t="s">
        <v>16</v>
      </c>
      <c r="B125" t="s">
        <v>100</v>
      </c>
      <c r="C125" t="s">
        <v>3083</v>
      </c>
      <c r="D125" t="s">
        <v>3392</v>
      </c>
      <c r="E125" t="s">
        <v>3393</v>
      </c>
      <c r="F125" t="s">
        <v>3087</v>
      </c>
      <c r="G125" t="s">
        <v>3394</v>
      </c>
    </row>
    <row r="126" spans="1:7" ht="11.25" customHeight="1">
      <c r="A126" s="97" t="s">
        <v>16</v>
      </c>
      <c r="B126" t="s">
        <v>100</v>
      </c>
      <c r="C126" t="s">
        <v>3083</v>
      </c>
      <c r="D126" t="s">
        <v>3395</v>
      </c>
      <c r="E126" t="s">
        <v>3396</v>
      </c>
      <c r="F126" t="s">
        <v>3087</v>
      </c>
      <c r="G126" t="s">
        <v>3397</v>
      </c>
    </row>
    <row r="127" spans="1:7" ht="11.25" customHeight="1">
      <c r="A127" s="97" t="s">
        <v>16</v>
      </c>
      <c r="B127" t="s">
        <v>100</v>
      </c>
      <c r="C127" t="s">
        <v>3083</v>
      </c>
      <c r="D127" t="s">
        <v>3398</v>
      </c>
      <c r="E127" t="s">
        <v>3399</v>
      </c>
      <c r="F127" t="s">
        <v>3087</v>
      </c>
      <c r="G127" t="s">
        <v>3400</v>
      </c>
    </row>
    <row r="128" spans="1:7" ht="11.25" customHeight="1">
      <c r="A128" s="97" t="s">
        <v>16</v>
      </c>
      <c r="B128" t="s">
        <v>100</v>
      </c>
      <c r="C128" t="s">
        <v>3083</v>
      </c>
      <c r="D128" t="s">
        <v>3401</v>
      </c>
      <c r="E128" t="s">
        <v>3402</v>
      </c>
      <c r="F128" t="s">
        <v>3090</v>
      </c>
      <c r="G128" t="s">
        <v>3403</v>
      </c>
    </row>
    <row r="129" spans="1:7" ht="11.25" customHeight="1">
      <c r="A129" s="97" t="s">
        <v>16</v>
      </c>
      <c r="B129" t="s">
        <v>100</v>
      </c>
      <c r="C129" t="s">
        <v>3083</v>
      </c>
      <c r="D129" t="s">
        <v>3404</v>
      </c>
      <c r="E129" t="s">
        <v>3405</v>
      </c>
      <c r="F129" t="s">
        <v>3087</v>
      </c>
      <c r="G129" t="s">
        <v>3406</v>
      </c>
    </row>
    <row r="130" spans="1:7" ht="11.25" customHeight="1">
      <c r="A130" s="97" t="s">
        <v>16</v>
      </c>
      <c r="B130" t="s">
        <v>100</v>
      </c>
      <c r="C130" t="s">
        <v>3083</v>
      </c>
      <c r="D130" t="s">
        <v>3407</v>
      </c>
      <c r="E130" t="s">
        <v>3408</v>
      </c>
      <c r="F130" t="s">
        <v>3090</v>
      </c>
      <c r="G130" t="s">
        <v>3409</v>
      </c>
    </row>
    <row r="131" spans="1:7" ht="11.25" customHeight="1">
      <c r="A131" s="97" t="s">
        <v>16</v>
      </c>
      <c r="B131" t="s">
        <v>100</v>
      </c>
      <c r="C131" t="s">
        <v>3083</v>
      </c>
      <c r="D131" t="s">
        <v>3410</v>
      </c>
      <c r="E131" t="s">
        <v>3411</v>
      </c>
      <c r="F131" t="s">
        <v>3090</v>
      </c>
      <c r="G131" t="s">
        <v>3412</v>
      </c>
    </row>
    <row r="132" spans="1:7" ht="11.25" customHeight="1">
      <c r="A132" s="97" t="s">
        <v>16</v>
      </c>
      <c r="B132" t="s">
        <v>100</v>
      </c>
      <c r="C132" t="s">
        <v>3083</v>
      </c>
      <c r="D132" t="s">
        <v>3413</v>
      </c>
      <c r="E132" t="s">
        <v>3414</v>
      </c>
      <c r="F132" t="s">
        <v>3090</v>
      </c>
      <c r="G132" t="s">
        <v>3415</v>
      </c>
    </row>
    <row r="133" spans="1:7" ht="11.25" customHeight="1">
      <c r="A133" s="97" t="s">
        <v>16</v>
      </c>
      <c r="B133" t="s">
        <v>100</v>
      </c>
      <c r="C133" t="s">
        <v>3083</v>
      </c>
      <c r="D133" t="s">
        <v>3416</v>
      </c>
      <c r="E133" t="s">
        <v>3417</v>
      </c>
      <c r="F133" t="s">
        <v>3090</v>
      </c>
      <c r="G133" t="s">
        <v>3418</v>
      </c>
    </row>
    <row r="134" spans="1:7" ht="11.25" customHeight="1">
      <c r="A134" s="97" t="s">
        <v>16</v>
      </c>
      <c r="B134" t="s">
        <v>100</v>
      </c>
      <c r="C134" t="s">
        <v>3083</v>
      </c>
      <c r="D134" t="s">
        <v>3419</v>
      </c>
      <c r="E134" t="s">
        <v>3420</v>
      </c>
      <c r="F134" t="s">
        <v>3090</v>
      </c>
      <c r="G134" t="s">
        <v>3421</v>
      </c>
    </row>
    <row r="135" spans="1:7" ht="11.25" customHeight="1">
      <c r="A135" s="97" t="s">
        <v>16</v>
      </c>
      <c r="B135" t="s">
        <v>100</v>
      </c>
      <c r="C135" t="s">
        <v>3083</v>
      </c>
      <c r="D135" t="s">
        <v>3422</v>
      </c>
      <c r="E135" t="s">
        <v>3423</v>
      </c>
      <c r="F135" t="s">
        <v>3087</v>
      </c>
      <c r="G135" t="s">
        <v>3424</v>
      </c>
    </row>
    <row r="136" spans="1:7" ht="11.25" customHeight="1">
      <c r="A136" s="97" t="s">
        <v>16</v>
      </c>
      <c r="B136" t="s">
        <v>100</v>
      </c>
      <c r="C136" t="s">
        <v>3083</v>
      </c>
      <c r="D136" t="s">
        <v>3425</v>
      </c>
      <c r="E136" t="s">
        <v>3426</v>
      </c>
      <c r="F136" t="s">
        <v>3087</v>
      </c>
      <c r="G136" t="s">
        <v>3427</v>
      </c>
    </row>
    <row r="137" spans="1:7" ht="11.25" customHeight="1">
      <c r="A137" s="97" t="s">
        <v>16</v>
      </c>
      <c r="B137" t="s">
        <v>100</v>
      </c>
      <c r="C137" t="s">
        <v>3083</v>
      </c>
      <c r="D137" t="s">
        <v>3428</v>
      </c>
      <c r="E137" t="s">
        <v>3429</v>
      </c>
      <c r="F137" t="s">
        <v>3087</v>
      </c>
      <c r="G137" t="s">
        <v>3430</v>
      </c>
    </row>
    <row r="138" spans="1:7" ht="11.25" customHeight="1">
      <c r="A138" s="97" t="s">
        <v>16</v>
      </c>
      <c r="B138" t="s">
        <v>100</v>
      </c>
      <c r="C138" t="s">
        <v>3083</v>
      </c>
      <c r="D138" t="s">
        <v>3431</v>
      </c>
      <c r="E138" t="s">
        <v>3432</v>
      </c>
      <c r="F138" t="s">
        <v>3087</v>
      </c>
      <c r="G138" t="s">
        <v>3433</v>
      </c>
    </row>
    <row r="139" spans="1:7" ht="11.25" customHeight="1">
      <c r="A139" s="97" t="s">
        <v>16</v>
      </c>
      <c r="B139" t="s">
        <v>100</v>
      </c>
      <c r="C139" t="s">
        <v>3083</v>
      </c>
      <c r="D139" t="s">
        <v>3434</v>
      </c>
      <c r="E139" t="s">
        <v>3435</v>
      </c>
      <c r="F139" t="s">
        <v>3087</v>
      </c>
      <c r="G139" t="s">
        <v>3436</v>
      </c>
    </row>
    <row r="140" spans="1:7" ht="11.25" customHeight="1">
      <c r="A140" s="97" t="s">
        <v>16</v>
      </c>
      <c r="B140" t="s">
        <v>100</v>
      </c>
      <c r="C140" t="s">
        <v>3083</v>
      </c>
      <c r="D140" t="s">
        <v>3437</v>
      </c>
      <c r="E140" t="s">
        <v>3438</v>
      </c>
      <c r="F140" t="s">
        <v>3087</v>
      </c>
      <c r="G140" t="s">
        <v>3439</v>
      </c>
    </row>
    <row r="141" spans="1:7" ht="11.25" customHeight="1">
      <c r="A141" s="97" t="s">
        <v>16</v>
      </c>
      <c r="B141" t="s">
        <v>100</v>
      </c>
      <c r="C141" t="s">
        <v>3083</v>
      </c>
      <c r="D141" t="s">
        <v>3440</v>
      </c>
      <c r="E141" t="s">
        <v>3441</v>
      </c>
      <c r="F141" t="s">
        <v>3087</v>
      </c>
      <c r="G141" t="s">
        <v>3442</v>
      </c>
    </row>
    <row r="142" spans="1:7" ht="11.25" customHeight="1">
      <c r="A142" s="97" t="s">
        <v>16</v>
      </c>
      <c r="B142" t="s">
        <v>100</v>
      </c>
      <c r="C142" t="s">
        <v>3083</v>
      </c>
      <c r="D142" t="s">
        <v>3443</v>
      </c>
      <c r="E142" t="s">
        <v>3444</v>
      </c>
      <c r="F142" t="s">
        <v>3087</v>
      </c>
      <c r="G142" t="s">
        <v>3445</v>
      </c>
    </row>
    <row r="143" spans="1:7" ht="11.25" customHeight="1">
      <c r="A143" s="97" t="s">
        <v>16</v>
      </c>
      <c r="B143" t="s">
        <v>100</v>
      </c>
      <c r="C143" t="s">
        <v>3083</v>
      </c>
      <c r="D143" t="s">
        <v>3446</v>
      </c>
      <c r="E143" t="s">
        <v>3447</v>
      </c>
      <c r="F143" t="s">
        <v>3087</v>
      </c>
      <c r="G143" t="s">
        <v>3448</v>
      </c>
    </row>
    <row r="144" spans="1:7" ht="11.25" customHeight="1">
      <c r="A144" s="97" t="s">
        <v>16</v>
      </c>
      <c r="B144" t="s">
        <v>100</v>
      </c>
      <c r="C144" t="s">
        <v>3083</v>
      </c>
      <c r="D144" t="s">
        <v>101</v>
      </c>
      <c r="E144" t="s">
        <v>102</v>
      </c>
      <c r="F144" t="s">
        <v>3087</v>
      </c>
      <c r="G144" t="s">
        <v>99</v>
      </c>
    </row>
    <row r="145" spans="1:7" ht="11.25" customHeight="1">
      <c r="A145" s="97" t="s">
        <v>16</v>
      </c>
      <c r="B145" t="s">
        <v>100</v>
      </c>
      <c r="C145" t="s">
        <v>3083</v>
      </c>
      <c r="D145" t="s">
        <v>3449</v>
      </c>
      <c r="E145" t="s">
        <v>3450</v>
      </c>
      <c r="F145" t="s">
        <v>3087</v>
      </c>
      <c r="G145" t="s">
        <v>3451</v>
      </c>
    </row>
    <row r="146" spans="1:7" ht="11.25" customHeight="1">
      <c r="A146" s="97" t="s">
        <v>16</v>
      </c>
      <c r="B146" t="s">
        <v>100</v>
      </c>
      <c r="C146" t="s">
        <v>3083</v>
      </c>
      <c r="D146" t="s">
        <v>3452</v>
      </c>
      <c r="E146" t="s">
        <v>3453</v>
      </c>
      <c r="F146" t="s">
        <v>3087</v>
      </c>
      <c r="G146" t="s">
        <v>3454</v>
      </c>
    </row>
    <row r="147" spans="1:7" ht="11.25" customHeight="1">
      <c r="A147" s="97" t="s">
        <v>16</v>
      </c>
      <c r="B147" t="s">
        <v>100</v>
      </c>
      <c r="C147" t="s">
        <v>3083</v>
      </c>
      <c r="D147" t="s">
        <v>3455</v>
      </c>
      <c r="E147" t="s">
        <v>3456</v>
      </c>
      <c r="F147" t="s">
        <v>3087</v>
      </c>
      <c r="G147" t="s">
        <v>3457</v>
      </c>
    </row>
    <row r="148" spans="1:7" ht="11.25" customHeight="1">
      <c r="A148" s="97" t="s">
        <v>16</v>
      </c>
      <c r="B148" t="s">
        <v>100</v>
      </c>
      <c r="C148" t="s">
        <v>3083</v>
      </c>
      <c r="D148" t="s">
        <v>3458</v>
      </c>
      <c r="E148" t="s">
        <v>3459</v>
      </c>
      <c r="F148" t="s">
        <v>3087</v>
      </c>
      <c r="G148" t="s">
        <v>3460</v>
      </c>
    </row>
    <row r="149" spans="1:7" ht="11.25" customHeight="1">
      <c r="A149" s="97" t="s">
        <v>16</v>
      </c>
      <c r="B149" t="s">
        <v>100</v>
      </c>
      <c r="C149" t="s">
        <v>3083</v>
      </c>
      <c r="D149" t="s">
        <v>3461</v>
      </c>
      <c r="E149" t="s">
        <v>3462</v>
      </c>
      <c r="F149" t="s">
        <v>3087</v>
      </c>
      <c r="G149" t="s">
        <v>3463</v>
      </c>
    </row>
    <row r="150" spans="1:7" ht="11.25" customHeight="1">
      <c r="A150" s="97" t="s">
        <v>16</v>
      </c>
      <c r="B150" t="s">
        <v>100</v>
      </c>
      <c r="C150" t="s">
        <v>3083</v>
      </c>
      <c r="D150" t="s">
        <v>3464</v>
      </c>
      <c r="E150" t="s">
        <v>3465</v>
      </c>
      <c r="F150" t="s">
        <v>3087</v>
      </c>
      <c r="G150" t="s">
        <v>3466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0792-5F0B-B14E-784D-FD49AE2E1B59}">
  <sheetPr>
    <tabColor rgb="FFFFCC99"/>
  </sheetPr>
  <dimension ref="A1:I15"/>
  <sheetViews>
    <sheetView showGridLines="0" workbookViewId="0"/>
  </sheetViews>
  <sheetFormatPr defaultColWidth="9.140625" defaultRowHeight="11.25" customHeight="1"/>
  <cols>
    <col min="1" max="1" width="13.85546875" customWidth="1"/>
    <col min="2" max="2" width="10.42578125" customWidth="1"/>
    <col min="3" max="3" width="7.5703125" customWidth="1"/>
    <col min="4" max="4" width="13.85546875" customWidth="1"/>
    <col min="5" max="5" width="11.5703125" customWidth="1"/>
    <col min="6" max="6" width="16.28515625" customWidth="1"/>
    <col min="7" max="7" width="16" customWidth="1"/>
    <col min="8" max="9" width="16.140625" customWidth="1"/>
  </cols>
  <sheetData>
    <row r="1" spans="1:9" ht="11.25" customHeight="1">
      <c r="A1" s="497" t="s">
        <v>3467</v>
      </c>
      <c r="B1" s="497" t="s">
        <v>3468</v>
      </c>
      <c r="C1" s="497" t="s">
        <v>3469</v>
      </c>
      <c r="D1" s="497" t="s">
        <v>3470</v>
      </c>
      <c r="E1" s="497" t="s">
        <v>3471</v>
      </c>
      <c r="F1" s="497" t="s">
        <v>3472</v>
      </c>
      <c r="G1" s="497" t="s">
        <v>3473</v>
      </c>
      <c r="H1" s="497" t="s">
        <v>3474</v>
      </c>
      <c r="I1" s="497" t="s">
        <v>3475</v>
      </c>
    </row>
    <row r="2" spans="1:9" ht="11.25" customHeight="1">
      <c r="A2" t="s">
        <v>110</v>
      </c>
      <c r="B2" t="s">
        <v>3476</v>
      </c>
      <c r="C2" t="s">
        <v>22</v>
      </c>
      <c r="D2" t="s">
        <v>3477</v>
      </c>
      <c r="E2" t="s">
        <v>3478</v>
      </c>
      <c r="F2" t="s">
        <v>22</v>
      </c>
      <c r="G2" t="s">
        <v>22</v>
      </c>
      <c r="H2" t="s">
        <v>22</v>
      </c>
      <c r="I2" t="s">
        <v>22</v>
      </c>
    </row>
    <row r="3" spans="1:9" ht="11.25" customHeight="1">
      <c r="A3" t="s">
        <v>111</v>
      </c>
      <c r="B3" t="s">
        <v>3479</v>
      </c>
      <c r="C3" t="s">
        <v>22</v>
      </c>
      <c r="D3" t="s">
        <v>3477</v>
      </c>
      <c r="E3" t="s">
        <v>3478</v>
      </c>
      <c r="F3" t="s">
        <v>22</v>
      </c>
      <c r="G3" t="s">
        <v>22</v>
      </c>
      <c r="H3" t="s">
        <v>22</v>
      </c>
      <c r="I3" t="s">
        <v>22</v>
      </c>
    </row>
    <row r="4" spans="1:9" ht="11.25" customHeight="1">
      <c r="A4" t="s">
        <v>90</v>
      </c>
      <c r="B4" t="s">
        <v>3480</v>
      </c>
      <c r="C4" t="s">
        <v>22</v>
      </c>
      <c r="D4" t="s">
        <v>3481</v>
      </c>
      <c r="E4" t="s">
        <v>3482</v>
      </c>
      <c r="F4" t="s">
        <v>22</v>
      </c>
      <c r="G4" t="s">
        <v>22</v>
      </c>
      <c r="H4" t="s">
        <v>22</v>
      </c>
      <c r="I4" t="s">
        <v>22</v>
      </c>
    </row>
    <row r="5" spans="1:9" ht="11.25" customHeight="1">
      <c r="A5" t="s">
        <v>91</v>
      </c>
      <c r="B5" t="s">
        <v>3483</v>
      </c>
      <c r="C5" t="s">
        <v>22</v>
      </c>
      <c r="D5" t="s">
        <v>3481</v>
      </c>
      <c r="E5" t="s">
        <v>3482</v>
      </c>
      <c r="F5" t="s">
        <v>22</v>
      </c>
      <c r="G5" t="s">
        <v>22</v>
      </c>
      <c r="H5" t="s">
        <v>22</v>
      </c>
      <c r="I5" t="s">
        <v>22</v>
      </c>
    </row>
    <row r="6" spans="1:9" ht="11.25" customHeight="1">
      <c r="A6" t="s">
        <v>112</v>
      </c>
      <c r="B6" t="s">
        <v>3484</v>
      </c>
      <c r="C6" t="s">
        <v>22</v>
      </c>
      <c r="D6" t="s">
        <v>3485</v>
      </c>
      <c r="E6" t="s">
        <v>3486</v>
      </c>
      <c r="F6" t="s">
        <v>22</v>
      </c>
      <c r="G6" t="s">
        <v>22</v>
      </c>
      <c r="H6" t="s">
        <v>22</v>
      </c>
      <c r="I6" t="s">
        <v>22</v>
      </c>
    </row>
    <row r="7" spans="1:9" ht="11.25" customHeight="1">
      <c r="A7" t="s">
        <v>92</v>
      </c>
      <c r="B7" t="s">
        <v>3487</v>
      </c>
      <c r="C7" t="s">
        <v>22</v>
      </c>
      <c r="D7" t="s">
        <v>3481</v>
      </c>
      <c r="E7" t="s">
        <v>3478</v>
      </c>
      <c r="F7" t="s">
        <v>22</v>
      </c>
      <c r="G7" t="s">
        <v>22</v>
      </c>
      <c r="H7" t="s">
        <v>22</v>
      </c>
      <c r="I7" t="s">
        <v>22</v>
      </c>
    </row>
    <row r="8" spans="1:9" ht="11.25" customHeight="1">
      <c r="A8" t="s">
        <v>93</v>
      </c>
      <c r="B8" t="s">
        <v>3488</v>
      </c>
      <c r="C8" t="s">
        <v>22</v>
      </c>
      <c r="D8" t="s">
        <v>3489</v>
      </c>
      <c r="E8" t="s">
        <v>3490</v>
      </c>
      <c r="F8" t="s">
        <v>22</v>
      </c>
      <c r="G8" t="s">
        <v>22</v>
      </c>
      <c r="H8" t="s">
        <v>22</v>
      </c>
      <c r="I8" t="s">
        <v>22</v>
      </c>
    </row>
    <row r="9" spans="1:9" ht="11.25" customHeight="1">
      <c r="A9" t="s">
        <v>113</v>
      </c>
      <c r="B9" t="s">
        <v>3491</v>
      </c>
      <c r="C9" t="s">
        <v>22</v>
      </c>
      <c r="D9" t="s">
        <v>3492</v>
      </c>
      <c r="E9" t="s">
        <v>3493</v>
      </c>
      <c r="F9" t="s">
        <v>22</v>
      </c>
      <c r="G9" t="s">
        <v>22</v>
      </c>
      <c r="H9" t="s">
        <v>22</v>
      </c>
      <c r="I9" t="s">
        <v>22</v>
      </c>
    </row>
    <row r="10" spans="1:9" ht="11.25" customHeight="1">
      <c r="A10" t="s">
        <v>151</v>
      </c>
      <c r="B10" t="s">
        <v>3494</v>
      </c>
      <c r="C10" t="s">
        <v>22</v>
      </c>
      <c r="D10" t="s">
        <v>3492</v>
      </c>
      <c r="E10" t="s">
        <v>3493</v>
      </c>
      <c r="F10" t="s">
        <v>22</v>
      </c>
      <c r="G10" t="s">
        <v>22</v>
      </c>
      <c r="H10" t="s">
        <v>22</v>
      </c>
      <c r="I10" t="s">
        <v>22</v>
      </c>
    </row>
    <row r="11" spans="1:9" ht="11.25" customHeight="1">
      <c r="A11" t="s">
        <v>152</v>
      </c>
      <c r="B11" t="s">
        <v>3495</v>
      </c>
      <c r="C11" t="s">
        <v>22</v>
      </c>
      <c r="D11" t="s">
        <v>3489</v>
      </c>
      <c r="E11" t="s">
        <v>3482</v>
      </c>
      <c r="F11" t="s">
        <v>22</v>
      </c>
      <c r="G11" t="s">
        <v>22</v>
      </c>
      <c r="H11" t="s">
        <v>22</v>
      </c>
      <c r="I11" t="s">
        <v>22</v>
      </c>
    </row>
    <row r="12" spans="1:9" ht="11.25" customHeight="1">
      <c r="A12" t="s">
        <v>153</v>
      </c>
      <c r="B12" t="s">
        <v>3496</v>
      </c>
      <c r="C12" t="s">
        <v>22</v>
      </c>
      <c r="D12" t="s">
        <v>3489</v>
      </c>
      <c r="E12" t="s">
        <v>3490</v>
      </c>
      <c r="F12" t="s">
        <v>22</v>
      </c>
      <c r="G12" t="s">
        <v>22</v>
      </c>
      <c r="H12" t="s">
        <v>22</v>
      </c>
      <c r="I12" t="s">
        <v>22</v>
      </c>
    </row>
    <row r="13" spans="1:9" ht="11.25" customHeight="1">
      <c r="A13" t="s">
        <v>154</v>
      </c>
      <c r="B13" t="s">
        <v>3497</v>
      </c>
      <c r="C13" t="s">
        <v>22</v>
      </c>
      <c r="D13" t="s">
        <v>3489</v>
      </c>
      <c r="E13" t="s">
        <v>3482</v>
      </c>
      <c r="F13" t="s">
        <v>22</v>
      </c>
      <c r="G13" t="s">
        <v>22</v>
      </c>
      <c r="H13" t="s">
        <v>22</v>
      </c>
      <c r="I13" t="s">
        <v>22</v>
      </c>
    </row>
    <row r="14" spans="1:9" ht="11.25" customHeight="1">
      <c r="A14" t="s">
        <v>155</v>
      </c>
      <c r="B14" t="s">
        <v>3498</v>
      </c>
      <c r="C14" t="s">
        <v>22</v>
      </c>
      <c r="D14" t="s">
        <v>3499</v>
      </c>
      <c r="E14" t="s">
        <v>3490</v>
      </c>
      <c r="F14" t="s">
        <v>22</v>
      </c>
      <c r="G14" t="s">
        <v>22</v>
      </c>
      <c r="H14" t="s">
        <v>22</v>
      </c>
      <c r="I14" t="s">
        <v>22</v>
      </c>
    </row>
    <row r="15" spans="1:9" ht="11.25" customHeight="1">
      <c r="A15" t="s">
        <v>156</v>
      </c>
      <c r="B15" t="s">
        <v>3500</v>
      </c>
      <c r="C15" t="s">
        <v>22</v>
      </c>
      <c r="D15" t="s">
        <v>3489</v>
      </c>
      <c r="E15" t="s">
        <v>3490</v>
      </c>
      <c r="F15" t="s">
        <v>22</v>
      </c>
      <c r="G15" t="s">
        <v>22</v>
      </c>
      <c r="H15" t="s">
        <v>22</v>
      </c>
      <c r="I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2C3A-12B6-C2D5-AB52-AE7103A2E7C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762E-500B-C38D-6998-35FFFE210CC1}">
  <sheetPr>
    <tabColor rgb="FFFFCC99"/>
  </sheetPr>
  <dimension ref="A1:B2"/>
  <sheetViews>
    <sheetView showGridLines="0" workbookViewId="0"/>
  </sheetViews>
  <sheetFormatPr defaultColWidth="9.140625" defaultRowHeight="11.25" customHeight="1"/>
  <sheetData>
    <row r="1" spans="1:2" ht="11.25" customHeight="1">
      <c r="A1" s="947" t="s">
        <v>133</v>
      </c>
      <c r="B1" s="947" t="s">
        <v>3501</v>
      </c>
    </row>
    <row r="2" spans="1:2" ht="11.25" customHeight="1">
      <c r="A2" t="s">
        <v>98</v>
      </c>
      <c r="B2" t="s">
        <v>3502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78CA-90B5-8C0E-D3AC-E837A23860C8}">
  <sheetPr>
    <tabColor rgb="FFFFCC99"/>
  </sheetPr>
  <dimension ref="A1:B11"/>
  <sheetViews>
    <sheetView showGridLines="0" workbookViewId="0"/>
  </sheetViews>
  <sheetFormatPr defaultColWidth="9.140625" defaultRowHeight="11.25" customHeight="1"/>
  <cols>
    <col min="2" max="2" width="65.28515625" customWidth="1"/>
  </cols>
  <sheetData>
    <row r="1" spans="1:2" ht="11.25" customHeight="1">
      <c r="A1" s="497" t="s">
        <v>3503</v>
      </c>
      <c r="B1" s="497" t="s">
        <v>3504</v>
      </c>
    </row>
    <row r="2" spans="1:2" ht="11.25" customHeight="1">
      <c r="A2" s="497">
        <v>4213775</v>
      </c>
      <c r="B2" s="497" t="s">
        <v>1222</v>
      </c>
    </row>
    <row r="3" spans="1:2" ht="11.25" customHeight="1">
      <c r="A3" s="497">
        <v>4213784</v>
      </c>
      <c r="B3" s="497" t="s">
        <v>1255</v>
      </c>
    </row>
    <row r="4" spans="1:2" ht="11.25" customHeight="1">
      <c r="A4" s="497">
        <v>4213781</v>
      </c>
      <c r="B4" s="497" t="s">
        <v>1248</v>
      </c>
    </row>
    <row r="5" spans="1:2" ht="11.25" customHeight="1">
      <c r="A5" s="497">
        <v>4213776</v>
      </c>
      <c r="B5" s="497" t="s">
        <v>169</v>
      </c>
    </row>
    <row r="6" spans="1:2" ht="11.25" customHeight="1">
      <c r="A6" s="497">
        <v>4213777</v>
      </c>
      <c r="B6" s="497" t="s">
        <v>175</v>
      </c>
    </row>
    <row r="7" spans="1:2" ht="11.25" customHeight="1">
      <c r="A7" s="497">
        <v>4213778</v>
      </c>
      <c r="B7" s="497" t="s">
        <v>181</v>
      </c>
    </row>
    <row r="8" spans="1:2" ht="11.25" customHeight="1">
      <c r="A8" s="497">
        <v>4213780</v>
      </c>
      <c r="B8" s="497" t="s">
        <v>187</v>
      </c>
    </row>
    <row r="9" spans="1:2" ht="11.25" customHeight="1">
      <c r="A9" s="497">
        <v>4213779</v>
      </c>
      <c r="B9" s="497" t="s">
        <v>1389</v>
      </c>
    </row>
    <row r="10" spans="1:2" ht="11.25" customHeight="1">
      <c r="A10" s="497">
        <v>4213783</v>
      </c>
      <c r="B10" s="497" t="s">
        <v>1404</v>
      </c>
    </row>
    <row r="11" spans="1:2" ht="11.25" customHeight="1">
      <c r="A11" s="497">
        <v>4213782</v>
      </c>
      <c r="B11" s="497"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72A6-AD25-C095-C436-E4ABD74BAA8A}">
  <sheetPr>
    <tabColor rgb="FFFFCC99"/>
  </sheetPr>
  <dimension ref="A1:B11"/>
  <sheetViews>
    <sheetView showGridLines="0" workbookViewId="0"/>
  </sheetViews>
  <sheetFormatPr defaultColWidth="9.140625" defaultRowHeight="11.25" customHeight="1"/>
  <cols>
    <col min="2" max="2" width="65.28515625" customWidth="1"/>
  </cols>
  <sheetData>
    <row r="1" spans="1:2" ht="11.25" customHeight="1">
      <c r="A1" s="497" t="s">
        <v>3503</v>
      </c>
      <c r="B1" s="497" t="s">
        <v>3505</v>
      </c>
    </row>
    <row r="2" spans="1:2" ht="11.25" customHeight="1">
      <c r="A2" s="497" t="s">
        <v>3506</v>
      </c>
      <c r="B2" s="497" t="s">
        <v>1501</v>
      </c>
    </row>
    <row r="3" spans="1:2" ht="11.25" customHeight="1">
      <c r="A3" s="497" t="s">
        <v>3507</v>
      </c>
      <c r="B3" s="497" t="s">
        <v>1511</v>
      </c>
    </row>
    <row r="4" spans="1:2" ht="11.25" customHeight="1">
      <c r="A4" s="497" t="s">
        <v>3508</v>
      </c>
      <c r="B4" s="497" t="s">
        <v>1520</v>
      </c>
    </row>
    <row r="5" spans="1:2" ht="11.25" customHeight="1">
      <c r="A5" s="497" t="s">
        <v>3509</v>
      </c>
      <c r="B5" s="497" t="s">
        <v>1529</v>
      </c>
    </row>
    <row r="6" spans="1:2" ht="11.25" customHeight="1">
      <c r="A6" s="497" t="s">
        <v>3510</v>
      </c>
      <c r="B6" s="497" t="s">
        <v>1535</v>
      </c>
    </row>
    <row r="7" spans="1:2" ht="11.25" customHeight="1">
      <c r="A7" s="497" t="s">
        <v>3511</v>
      </c>
      <c r="B7" s="497" t="s">
        <v>1543</v>
      </c>
    </row>
    <row r="8" spans="1:2" ht="11.25" customHeight="1">
      <c r="A8" s="497" t="s">
        <v>3512</v>
      </c>
      <c r="B8" s="497" t="s">
        <v>1550</v>
      </c>
    </row>
    <row r="9" spans="1:2" ht="11.25" customHeight="1">
      <c r="A9" s="497" t="s">
        <v>3513</v>
      </c>
      <c r="B9" s="497" t="s">
        <v>1556</v>
      </c>
    </row>
    <row r="10" spans="1:2" ht="11.25" customHeight="1">
      <c r="A10" s="497" t="s">
        <v>120</v>
      </c>
      <c r="B10" s="497" t="s">
        <v>1560</v>
      </c>
    </row>
    <row r="11" spans="1:2" ht="11.25" customHeight="1">
      <c r="A11" s="497" t="s">
        <v>3514</v>
      </c>
      <c r="B11" s="497"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D468-BE55-9ED4-7872-0F4BF1917DA6}">
  <sheetPr>
    <tabColor rgb="FFFFCC99"/>
  </sheetPr>
  <dimension ref="A1:G150"/>
  <sheetViews>
    <sheetView showGridLines="0" workbookViewId="0"/>
  </sheetViews>
  <sheetFormatPr defaultRowHeight="11.25" customHeight="1"/>
  <sheetData>
    <row r="1" spans="1:7" ht="11.25" customHeight="1">
      <c r="A1" s="97" t="s">
        <v>3076</v>
      </c>
      <c r="B1" s="97" t="s">
        <v>3077</v>
      </c>
      <c r="C1" s="97" t="s">
        <v>3078</v>
      </c>
      <c r="D1" s="97" t="s">
        <v>3079</v>
      </c>
      <c r="E1" t="s">
        <v>3080</v>
      </c>
      <c r="F1" t="s">
        <v>3081</v>
      </c>
      <c r="G1" t="s">
        <v>3082</v>
      </c>
    </row>
    <row r="2" spans="1:7" ht="11.25" customHeight="1">
      <c r="A2" t="s">
        <v>16</v>
      </c>
      <c r="B2" t="s">
        <v>100</v>
      </c>
      <c r="C2" t="s">
        <v>3083</v>
      </c>
      <c r="D2" t="s">
        <v>100</v>
      </c>
      <c r="E2" t="s">
        <v>3083</v>
      </c>
      <c r="F2" t="s">
        <v>3084</v>
      </c>
      <c r="G2" t="s">
        <v>110</v>
      </c>
    </row>
    <row r="3" spans="1:7" ht="11.25" customHeight="1">
      <c r="A3" t="s">
        <v>16</v>
      </c>
      <c r="B3" t="s">
        <v>100</v>
      </c>
      <c r="C3" t="s">
        <v>3083</v>
      </c>
      <c r="D3" t="s">
        <v>3085</v>
      </c>
      <c r="E3" t="s">
        <v>3086</v>
      </c>
      <c r="F3" t="s">
        <v>3087</v>
      </c>
      <c r="G3" t="s">
        <v>111</v>
      </c>
    </row>
    <row r="4" spans="1:7" ht="11.25" customHeight="1">
      <c r="A4" t="s">
        <v>16</v>
      </c>
      <c r="B4" t="s">
        <v>100</v>
      </c>
      <c r="C4" t="s">
        <v>3083</v>
      </c>
      <c r="D4" t="s">
        <v>3088</v>
      </c>
      <c r="E4" t="s">
        <v>3089</v>
      </c>
      <c r="F4" t="s">
        <v>3090</v>
      </c>
      <c r="G4" t="s">
        <v>90</v>
      </c>
    </row>
    <row r="5" spans="1:7" ht="11.25" customHeight="1">
      <c r="A5" t="s">
        <v>16</v>
      </c>
      <c r="B5" t="s">
        <v>100</v>
      </c>
      <c r="C5" t="s">
        <v>3083</v>
      </c>
      <c r="D5" t="s">
        <v>3091</v>
      </c>
      <c r="E5" t="s">
        <v>3092</v>
      </c>
      <c r="F5" t="s">
        <v>3090</v>
      </c>
      <c r="G5" t="s">
        <v>91</v>
      </c>
    </row>
    <row r="6" spans="1:7" ht="11.25" customHeight="1">
      <c r="A6" t="s">
        <v>16</v>
      </c>
      <c r="B6" t="s">
        <v>100</v>
      </c>
      <c r="C6" t="s">
        <v>3083</v>
      </c>
      <c r="D6" t="s">
        <v>3093</v>
      </c>
      <c r="E6" t="s">
        <v>3094</v>
      </c>
      <c r="F6" t="s">
        <v>3090</v>
      </c>
      <c r="G6" t="s">
        <v>112</v>
      </c>
    </row>
    <row r="7" spans="1:7" ht="11.25" customHeight="1">
      <c r="A7" t="s">
        <v>16</v>
      </c>
      <c r="B7" t="s">
        <v>100</v>
      </c>
      <c r="C7" t="s">
        <v>3083</v>
      </c>
      <c r="D7" t="s">
        <v>3095</v>
      </c>
      <c r="E7" t="s">
        <v>3096</v>
      </c>
      <c r="F7" t="s">
        <v>3090</v>
      </c>
      <c r="G7" t="s">
        <v>92</v>
      </c>
    </row>
    <row r="8" spans="1:7" ht="11.25" customHeight="1">
      <c r="A8" t="s">
        <v>16</v>
      </c>
      <c r="B8" t="s">
        <v>100</v>
      </c>
      <c r="C8" t="s">
        <v>3083</v>
      </c>
      <c r="D8" t="s">
        <v>3097</v>
      </c>
      <c r="E8" t="s">
        <v>3098</v>
      </c>
      <c r="F8" t="s">
        <v>3090</v>
      </c>
      <c r="G8" t="s">
        <v>93</v>
      </c>
    </row>
    <row r="9" spans="1:7" ht="11.25" customHeight="1">
      <c r="A9" t="s">
        <v>16</v>
      </c>
      <c r="B9" t="s">
        <v>100</v>
      </c>
      <c r="C9" t="s">
        <v>3083</v>
      </c>
      <c r="D9" t="s">
        <v>3099</v>
      </c>
      <c r="E9" t="s">
        <v>3100</v>
      </c>
      <c r="F9" t="s">
        <v>3090</v>
      </c>
      <c r="G9" t="s">
        <v>113</v>
      </c>
    </row>
    <row r="10" spans="1:7" ht="11.25" customHeight="1">
      <c r="A10" t="s">
        <v>16</v>
      </c>
      <c r="B10" t="s">
        <v>100</v>
      </c>
      <c r="C10" t="s">
        <v>3083</v>
      </c>
      <c r="D10" t="s">
        <v>3101</v>
      </c>
      <c r="E10" t="s">
        <v>3102</v>
      </c>
      <c r="F10" t="s">
        <v>3090</v>
      </c>
      <c r="G10" t="s">
        <v>151</v>
      </c>
    </row>
    <row r="11" spans="1:7" ht="11.25" customHeight="1">
      <c r="A11" t="s">
        <v>16</v>
      </c>
      <c r="B11" t="s">
        <v>100</v>
      </c>
      <c r="C11" t="s">
        <v>3083</v>
      </c>
      <c r="D11" t="s">
        <v>3103</v>
      </c>
      <c r="E11" t="s">
        <v>3104</v>
      </c>
      <c r="F11" t="s">
        <v>3090</v>
      </c>
      <c r="G11" t="s">
        <v>152</v>
      </c>
    </row>
    <row r="12" spans="1:7" ht="11.25" customHeight="1">
      <c r="A12" t="s">
        <v>16</v>
      </c>
      <c r="B12" t="s">
        <v>100</v>
      </c>
      <c r="C12" t="s">
        <v>3083</v>
      </c>
      <c r="D12" t="s">
        <v>3105</v>
      </c>
      <c r="E12" t="s">
        <v>3106</v>
      </c>
      <c r="F12" t="s">
        <v>3087</v>
      </c>
      <c r="G12" t="s">
        <v>153</v>
      </c>
    </row>
    <row r="13" spans="1:7" ht="11.25" customHeight="1">
      <c r="A13" t="s">
        <v>16</v>
      </c>
      <c r="B13" t="s">
        <v>100</v>
      </c>
      <c r="C13" t="s">
        <v>3083</v>
      </c>
      <c r="D13" t="s">
        <v>3107</v>
      </c>
      <c r="E13" t="s">
        <v>3108</v>
      </c>
      <c r="F13" t="s">
        <v>3090</v>
      </c>
      <c r="G13" t="s">
        <v>154</v>
      </c>
    </row>
    <row r="14" spans="1:7" ht="11.25" customHeight="1">
      <c r="A14" t="s">
        <v>16</v>
      </c>
      <c r="B14" t="s">
        <v>100</v>
      </c>
      <c r="C14" t="s">
        <v>3083</v>
      </c>
      <c r="D14" t="s">
        <v>3109</v>
      </c>
      <c r="E14" t="s">
        <v>3110</v>
      </c>
      <c r="F14" t="s">
        <v>3090</v>
      </c>
      <c r="G14" t="s">
        <v>155</v>
      </c>
    </row>
    <row r="15" spans="1:7" ht="11.25" customHeight="1">
      <c r="A15" t="s">
        <v>16</v>
      </c>
      <c r="B15" t="s">
        <v>100</v>
      </c>
      <c r="C15" t="s">
        <v>3083</v>
      </c>
      <c r="D15" t="s">
        <v>3111</v>
      </c>
      <c r="E15" t="s">
        <v>3112</v>
      </c>
      <c r="F15" t="s">
        <v>3087</v>
      </c>
      <c r="G15" t="s">
        <v>156</v>
      </c>
    </row>
    <row r="16" spans="1:7" ht="11.25" customHeight="1">
      <c r="A16" t="s">
        <v>16</v>
      </c>
      <c r="B16" t="s">
        <v>100</v>
      </c>
      <c r="C16" t="s">
        <v>3083</v>
      </c>
      <c r="D16" t="s">
        <v>3113</v>
      </c>
      <c r="E16" t="s">
        <v>3114</v>
      </c>
      <c r="F16" t="s">
        <v>3087</v>
      </c>
      <c r="G16" t="s">
        <v>1463</v>
      </c>
    </row>
    <row r="17" spans="1:7" ht="11.25" customHeight="1">
      <c r="A17" t="s">
        <v>16</v>
      </c>
      <c r="B17" t="s">
        <v>100</v>
      </c>
      <c r="C17" t="s">
        <v>3083</v>
      </c>
      <c r="D17" t="s">
        <v>3115</v>
      </c>
      <c r="E17" t="s">
        <v>3116</v>
      </c>
      <c r="F17" t="s">
        <v>3090</v>
      </c>
      <c r="G17" t="s">
        <v>1469</v>
      </c>
    </row>
    <row r="18" spans="1:7" ht="11.25" customHeight="1">
      <c r="A18" t="s">
        <v>16</v>
      </c>
      <c r="B18" t="s">
        <v>100</v>
      </c>
      <c r="C18" t="s">
        <v>3083</v>
      </c>
      <c r="D18" t="s">
        <v>3117</v>
      </c>
      <c r="E18" t="s">
        <v>3118</v>
      </c>
      <c r="F18" t="s">
        <v>3087</v>
      </c>
      <c r="G18" t="s">
        <v>1481</v>
      </c>
    </row>
    <row r="19" spans="1:7" ht="11.25" customHeight="1">
      <c r="A19" t="s">
        <v>16</v>
      </c>
      <c r="B19" t="s">
        <v>100</v>
      </c>
      <c r="C19" t="s">
        <v>3083</v>
      </c>
      <c r="D19" t="s">
        <v>3119</v>
      </c>
      <c r="E19" t="s">
        <v>3120</v>
      </c>
      <c r="F19" t="s">
        <v>3090</v>
      </c>
      <c r="G19" t="s">
        <v>1495</v>
      </c>
    </row>
    <row r="20" spans="1:7" ht="11.25" customHeight="1">
      <c r="A20" t="s">
        <v>16</v>
      </c>
      <c r="B20" t="s">
        <v>100</v>
      </c>
      <c r="C20" t="s">
        <v>3083</v>
      </c>
      <c r="D20" t="s">
        <v>3121</v>
      </c>
      <c r="E20" t="s">
        <v>3122</v>
      </c>
      <c r="F20" t="s">
        <v>3090</v>
      </c>
      <c r="G20" t="s">
        <v>1507</v>
      </c>
    </row>
    <row r="21" spans="1:7" ht="11.25" customHeight="1">
      <c r="A21" t="s">
        <v>16</v>
      </c>
      <c r="B21" t="s">
        <v>100</v>
      </c>
      <c r="C21" t="s">
        <v>3083</v>
      </c>
      <c r="D21" t="s">
        <v>3123</v>
      </c>
      <c r="E21" t="s">
        <v>3124</v>
      </c>
      <c r="F21" t="s">
        <v>3090</v>
      </c>
      <c r="G21" t="s">
        <v>1516</v>
      </c>
    </row>
    <row r="22" spans="1:7" ht="11.25" customHeight="1">
      <c r="A22" t="s">
        <v>16</v>
      </c>
      <c r="B22" t="s">
        <v>100</v>
      </c>
      <c r="C22" t="s">
        <v>3083</v>
      </c>
      <c r="D22" t="s">
        <v>3123</v>
      </c>
      <c r="E22" t="s">
        <v>3125</v>
      </c>
      <c r="F22" t="s">
        <v>3087</v>
      </c>
      <c r="G22" t="s">
        <v>1532</v>
      </c>
    </row>
    <row r="23" spans="1:7" ht="11.25" customHeight="1">
      <c r="A23" t="s">
        <v>16</v>
      </c>
      <c r="B23" t="s">
        <v>100</v>
      </c>
      <c r="C23" t="s">
        <v>3083</v>
      </c>
      <c r="D23" t="s">
        <v>3126</v>
      </c>
      <c r="E23" t="s">
        <v>3127</v>
      </c>
      <c r="F23" t="s">
        <v>3090</v>
      </c>
      <c r="G23" t="s">
        <v>1539</v>
      </c>
    </row>
    <row r="24" spans="1:7" ht="11.25" customHeight="1">
      <c r="A24" t="s">
        <v>16</v>
      </c>
      <c r="B24" t="s">
        <v>100</v>
      </c>
      <c r="C24" t="s">
        <v>3083</v>
      </c>
      <c r="D24" t="s">
        <v>3128</v>
      </c>
      <c r="E24" t="s">
        <v>3129</v>
      </c>
      <c r="F24" t="s">
        <v>3087</v>
      </c>
      <c r="G24" t="s">
        <v>1547</v>
      </c>
    </row>
    <row r="25" spans="1:7" ht="11.25" customHeight="1">
      <c r="A25" t="s">
        <v>16</v>
      </c>
      <c r="B25" t="s">
        <v>100</v>
      </c>
      <c r="C25" t="s">
        <v>3083</v>
      </c>
      <c r="D25" t="s">
        <v>3130</v>
      </c>
      <c r="E25" t="s">
        <v>3131</v>
      </c>
      <c r="F25" t="s">
        <v>3090</v>
      </c>
      <c r="G25" t="s">
        <v>1554</v>
      </c>
    </row>
    <row r="26" spans="1:7" ht="11.25" customHeight="1">
      <c r="A26" t="s">
        <v>16</v>
      </c>
      <c r="B26" t="s">
        <v>100</v>
      </c>
      <c r="C26" t="s">
        <v>3083</v>
      </c>
      <c r="D26" t="s">
        <v>3132</v>
      </c>
      <c r="E26" t="s">
        <v>3133</v>
      </c>
      <c r="F26" t="s">
        <v>3090</v>
      </c>
      <c r="G26" t="s">
        <v>1558</v>
      </c>
    </row>
    <row r="27" spans="1:7" ht="11.25" customHeight="1">
      <c r="A27" t="s">
        <v>16</v>
      </c>
      <c r="B27" t="s">
        <v>100</v>
      </c>
      <c r="C27" t="s">
        <v>3083</v>
      </c>
      <c r="D27" t="s">
        <v>3134</v>
      </c>
      <c r="E27" t="s">
        <v>3135</v>
      </c>
      <c r="F27" t="s">
        <v>3090</v>
      </c>
      <c r="G27" t="s">
        <v>1563</v>
      </c>
    </row>
    <row r="28" spans="1:7" ht="11.25" customHeight="1">
      <c r="A28" t="s">
        <v>16</v>
      </c>
      <c r="B28" t="s">
        <v>100</v>
      </c>
      <c r="C28" t="s">
        <v>3083</v>
      </c>
      <c r="D28" t="s">
        <v>3136</v>
      </c>
      <c r="E28" t="s">
        <v>3137</v>
      </c>
      <c r="F28" t="s">
        <v>3090</v>
      </c>
      <c r="G28" t="s">
        <v>1571</v>
      </c>
    </row>
    <row r="29" spans="1:7" ht="11.25" customHeight="1">
      <c r="A29" t="s">
        <v>16</v>
      </c>
      <c r="B29" t="s">
        <v>100</v>
      </c>
      <c r="C29" t="s">
        <v>3083</v>
      </c>
      <c r="D29" t="s">
        <v>3138</v>
      </c>
      <c r="E29" t="s">
        <v>3139</v>
      </c>
      <c r="F29" t="s">
        <v>3090</v>
      </c>
      <c r="G29" t="s">
        <v>1573</v>
      </c>
    </row>
    <row r="30" spans="1:7" ht="11.25" customHeight="1">
      <c r="A30" t="s">
        <v>16</v>
      </c>
      <c r="B30" t="s">
        <v>100</v>
      </c>
      <c r="C30" t="s">
        <v>3083</v>
      </c>
      <c r="D30" t="s">
        <v>3140</v>
      </c>
      <c r="E30" t="s">
        <v>3141</v>
      </c>
      <c r="F30" t="s">
        <v>3090</v>
      </c>
      <c r="G30" t="s">
        <v>1576</v>
      </c>
    </row>
    <row r="31" spans="1:7" ht="11.25" customHeight="1">
      <c r="A31" t="s">
        <v>16</v>
      </c>
      <c r="B31" t="s">
        <v>100</v>
      </c>
      <c r="C31" t="s">
        <v>3083</v>
      </c>
      <c r="D31" t="s">
        <v>3142</v>
      </c>
      <c r="E31" t="s">
        <v>3143</v>
      </c>
      <c r="F31" t="s">
        <v>3090</v>
      </c>
      <c r="G31" t="s">
        <v>1582</v>
      </c>
    </row>
    <row r="32" spans="1:7" ht="11.25" customHeight="1">
      <c r="A32" t="s">
        <v>16</v>
      </c>
      <c r="B32" t="s">
        <v>100</v>
      </c>
      <c r="C32" t="s">
        <v>3083</v>
      </c>
      <c r="D32" t="s">
        <v>3144</v>
      </c>
      <c r="E32" t="s">
        <v>3145</v>
      </c>
      <c r="F32" t="s">
        <v>3087</v>
      </c>
      <c r="G32" t="s">
        <v>1584</v>
      </c>
    </row>
    <row r="33" spans="1:7" ht="11.25" customHeight="1">
      <c r="A33" t="s">
        <v>16</v>
      </c>
      <c r="B33" t="s">
        <v>100</v>
      </c>
      <c r="C33" t="s">
        <v>3083</v>
      </c>
      <c r="D33" t="s">
        <v>3146</v>
      </c>
      <c r="E33" t="s">
        <v>3147</v>
      </c>
      <c r="F33" t="s">
        <v>3090</v>
      </c>
      <c r="G33" t="s">
        <v>1586</v>
      </c>
    </row>
    <row r="34" spans="1:7" ht="11.25" customHeight="1">
      <c r="A34" t="s">
        <v>16</v>
      </c>
      <c r="B34" t="s">
        <v>100</v>
      </c>
      <c r="C34" t="s">
        <v>3083</v>
      </c>
      <c r="D34" t="s">
        <v>3148</v>
      </c>
      <c r="E34" t="s">
        <v>3149</v>
      </c>
      <c r="F34" t="s">
        <v>3087</v>
      </c>
      <c r="G34" t="s">
        <v>1588</v>
      </c>
    </row>
    <row r="35" spans="1:7" ht="11.25" customHeight="1">
      <c r="A35" t="s">
        <v>16</v>
      </c>
      <c r="B35" t="s">
        <v>100</v>
      </c>
      <c r="C35" t="s">
        <v>3083</v>
      </c>
      <c r="D35" t="s">
        <v>3150</v>
      </c>
      <c r="E35" t="s">
        <v>3151</v>
      </c>
      <c r="F35" t="s">
        <v>3090</v>
      </c>
      <c r="G35" t="s">
        <v>1593</v>
      </c>
    </row>
    <row r="36" spans="1:7" ht="11.25" customHeight="1">
      <c r="A36" t="s">
        <v>16</v>
      </c>
      <c r="B36" t="s">
        <v>100</v>
      </c>
      <c r="C36" t="s">
        <v>3083</v>
      </c>
      <c r="D36" t="s">
        <v>3152</v>
      </c>
      <c r="E36" t="s">
        <v>3153</v>
      </c>
      <c r="F36" t="s">
        <v>3090</v>
      </c>
      <c r="G36" t="s">
        <v>1598</v>
      </c>
    </row>
    <row r="37" spans="1:7" ht="11.25" customHeight="1">
      <c r="A37" t="s">
        <v>16</v>
      </c>
      <c r="B37" t="s">
        <v>100</v>
      </c>
      <c r="C37" t="s">
        <v>3083</v>
      </c>
      <c r="D37" t="s">
        <v>3154</v>
      </c>
      <c r="E37" t="s">
        <v>3155</v>
      </c>
      <c r="F37" t="s">
        <v>3090</v>
      </c>
      <c r="G37" t="s">
        <v>1602</v>
      </c>
    </row>
    <row r="38" spans="1:7" ht="11.25" customHeight="1">
      <c r="A38" t="s">
        <v>16</v>
      </c>
      <c r="B38" t="s">
        <v>100</v>
      </c>
      <c r="C38" t="s">
        <v>3083</v>
      </c>
      <c r="D38" t="s">
        <v>3156</v>
      </c>
      <c r="E38" t="s">
        <v>3157</v>
      </c>
      <c r="F38" t="s">
        <v>3087</v>
      </c>
      <c r="G38" t="s">
        <v>1610</v>
      </c>
    </row>
    <row r="39" spans="1:7" ht="11.25" customHeight="1">
      <c r="A39" t="s">
        <v>16</v>
      </c>
      <c r="B39" t="s">
        <v>100</v>
      </c>
      <c r="C39" t="s">
        <v>3083</v>
      </c>
      <c r="D39" t="s">
        <v>3158</v>
      </c>
      <c r="E39" t="s">
        <v>3159</v>
      </c>
      <c r="F39" t="s">
        <v>3087</v>
      </c>
      <c r="G39" t="s">
        <v>1616</v>
      </c>
    </row>
    <row r="40" spans="1:7" ht="11.25" customHeight="1">
      <c r="A40" t="s">
        <v>16</v>
      </c>
      <c r="B40" t="s">
        <v>100</v>
      </c>
      <c r="C40" t="s">
        <v>3083</v>
      </c>
      <c r="D40" t="s">
        <v>3160</v>
      </c>
      <c r="E40" t="s">
        <v>3161</v>
      </c>
      <c r="F40" t="s">
        <v>3090</v>
      </c>
      <c r="G40" t="s">
        <v>1621</v>
      </c>
    </row>
    <row r="41" spans="1:7" ht="11.25" customHeight="1">
      <c r="A41" t="s">
        <v>16</v>
      </c>
      <c r="B41" t="s">
        <v>100</v>
      </c>
      <c r="C41" t="s">
        <v>3083</v>
      </c>
      <c r="D41" t="s">
        <v>3162</v>
      </c>
      <c r="E41" t="s">
        <v>3163</v>
      </c>
      <c r="F41" t="s">
        <v>3090</v>
      </c>
      <c r="G41" t="s">
        <v>1625</v>
      </c>
    </row>
    <row r="42" spans="1:7" ht="11.25" customHeight="1">
      <c r="A42" t="s">
        <v>16</v>
      </c>
      <c r="B42" t="s">
        <v>100</v>
      </c>
      <c r="C42" t="s">
        <v>3083</v>
      </c>
      <c r="D42" t="s">
        <v>3164</v>
      </c>
      <c r="E42" t="s">
        <v>3165</v>
      </c>
      <c r="F42" t="s">
        <v>3090</v>
      </c>
      <c r="G42" t="s">
        <v>1628</v>
      </c>
    </row>
    <row r="43" spans="1:7" ht="11.25" customHeight="1">
      <c r="A43" t="s">
        <v>16</v>
      </c>
      <c r="B43" t="s">
        <v>100</v>
      </c>
      <c r="C43" t="s">
        <v>3083</v>
      </c>
      <c r="D43" t="s">
        <v>3166</v>
      </c>
      <c r="E43" t="s">
        <v>3167</v>
      </c>
      <c r="F43" t="s">
        <v>3087</v>
      </c>
      <c r="G43" t="s">
        <v>1635</v>
      </c>
    </row>
    <row r="44" spans="1:7" ht="11.25" customHeight="1">
      <c r="A44" t="s">
        <v>16</v>
      </c>
      <c r="B44" t="s">
        <v>100</v>
      </c>
      <c r="C44" t="s">
        <v>3083</v>
      </c>
      <c r="D44" t="s">
        <v>3168</v>
      </c>
      <c r="E44" t="s">
        <v>3169</v>
      </c>
      <c r="F44" t="s">
        <v>3087</v>
      </c>
      <c r="G44" t="s">
        <v>1644</v>
      </c>
    </row>
    <row r="45" spans="1:7" ht="11.25" customHeight="1">
      <c r="A45" t="s">
        <v>16</v>
      </c>
      <c r="B45" t="s">
        <v>100</v>
      </c>
      <c r="C45" t="s">
        <v>3083</v>
      </c>
      <c r="D45" t="s">
        <v>3170</v>
      </c>
      <c r="E45" t="s">
        <v>3171</v>
      </c>
      <c r="F45" t="s">
        <v>3090</v>
      </c>
      <c r="G45" t="s">
        <v>1649</v>
      </c>
    </row>
    <row r="46" spans="1:7" ht="11.25" customHeight="1">
      <c r="A46" t="s">
        <v>16</v>
      </c>
      <c r="B46" t="s">
        <v>100</v>
      </c>
      <c r="C46" t="s">
        <v>3083</v>
      </c>
      <c r="D46" t="s">
        <v>3172</v>
      </c>
      <c r="E46" t="s">
        <v>3173</v>
      </c>
      <c r="F46" t="s">
        <v>3090</v>
      </c>
      <c r="G46" t="s">
        <v>1652</v>
      </c>
    </row>
    <row r="47" spans="1:7" ht="11.25" customHeight="1">
      <c r="A47" t="s">
        <v>16</v>
      </c>
      <c r="B47" t="s">
        <v>100</v>
      </c>
      <c r="C47" t="s">
        <v>3083</v>
      </c>
      <c r="D47" t="s">
        <v>3174</v>
      </c>
      <c r="E47" t="s">
        <v>3175</v>
      </c>
      <c r="F47" t="s">
        <v>3087</v>
      </c>
      <c r="G47" t="s">
        <v>1658</v>
      </c>
    </row>
    <row r="48" spans="1:7" ht="11.25" customHeight="1">
      <c r="A48" t="s">
        <v>16</v>
      </c>
      <c r="B48" t="s">
        <v>100</v>
      </c>
      <c r="C48" t="s">
        <v>3083</v>
      </c>
      <c r="D48" t="s">
        <v>3176</v>
      </c>
      <c r="E48" t="s">
        <v>3177</v>
      </c>
      <c r="F48" t="s">
        <v>3087</v>
      </c>
      <c r="G48" t="s">
        <v>1663</v>
      </c>
    </row>
    <row r="49" spans="1:7" ht="11.25" customHeight="1">
      <c r="A49" t="s">
        <v>16</v>
      </c>
      <c r="B49" t="s">
        <v>100</v>
      </c>
      <c r="C49" t="s">
        <v>3083</v>
      </c>
      <c r="D49" t="s">
        <v>3178</v>
      </c>
      <c r="E49" t="s">
        <v>3179</v>
      </c>
      <c r="F49" t="s">
        <v>3090</v>
      </c>
      <c r="G49" t="s">
        <v>1666</v>
      </c>
    </row>
    <row r="50" spans="1:7" ht="11.25" customHeight="1">
      <c r="A50" t="s">
        <v>16</v>
      </c>
      <c r="B50" t="s">
        <v>100</v>
      </c>
      <c r="C50" t="s">
        <v>3083</v>
      </c>
      <c r="D50" t="s">
        <v>3180</v>
      </c>
      <c r="E50" t="s">
        <v>3181</v>
      </c>
      <c r="F50" t="s">
        <v>3090</v>
      </c>
      <c r="G50" t="s">
        <v>1670</v>
      </c>
    </row>
    <row r="51" spans="1:7" ht="11.25" customHeight="1">
      <c r="A51" t="s">
        <v>16</v>
      </c>
      <c r="B51" t="s">
        <v>100</v>
      </c>
      <c r="C51" t="s">
        <v>3083</v>
      </c>
      <c r="D51" t="s">
        <v>3182</v>
      </c>
      <c r="E51" t="s">
        <v>3183</v>
      </c>
      <c r="F51" t="s">
        <v>3090</v>
      </c>
      <c r="G51" t="s">
        <v>1675</v>
      </c>
    </row>
    <row r="52" spans="1:7" ht="11.25" customHeight="1">
      <c r="A52" t="s">
        <v>16</v>
      </c>
      <c r="B52" t="s">
        <v>100</v>
      </c>
      <c r="C52" t="s">
        <v>3083</v>
      </c>
      <c r="D52" t="s">
        <v>3184</v>
      </c>
      <c r="E52" t="s">
        <v>3185</v>
      </c>
      <c r="F52" t="s">
        <v>3090</v>
      </c>
      <c r="G52" t="s">
        <v>1679</v>
      </c>
    </row>
    <row r="53" spans="1:7" ht="11.25" customHeight="1">
      <c r="A53" t="s">
        <v>16</v>
      </c>
      <c r="B53" t="s">
        <v>100</v>
      </c>
      <c r="C53" t="s">
        <v>3083</v>
      </c>
      <c r="D53" t="s">
        <v>3186</v>
      </c>
      <c r="E53" t="s">
        <v>3187</v>
      </c>
      <c r="F53" t="s">
        <v>3090</v>
      </c>
      <c r="G53" t="s">
        <v>1681</v>
      </c>
    </row>
    <row r="54" spans="1:7" ht="11.25" customHeight="1">
      <c r="A54" t="s">
        <v>16</v>
      </c>
      <c r="B54" t="s">
        <v>100</v>
      </c>
      <c r="C54" t="s">
        <v>3083</v>
      </c>
      <c r="D54" t="s">
        <v>3188</v>
      </c>
      <c r="E54" t="s">
        <v>3189</v>
      </c>
      <c r="F54" t="s">
        <v>3090</v>
      </c>
      <c r="G54" t="s">
        <v>1684</v>
      </c>
    </row>
    <row r="55" spans="1:7" ht="11.25" customHeight="1">
      <c r="A55" t="s">
        <v>16</v>
      </c>
      <c r="B55" t="s">
        <v>100</v>
      </c>
      <c r="C55" t="s">
        <v>3083</v>
      </c>
      <c r="D55" t="s">
        <v>3190</v>
      </c>
      <c r="E55" t="s">
        <v>3191</v>
      </c>
      <c r="F55" t="s">
        <v>3090</v>
      </c>
      <c r="G55" t="s">
        <v>1688</v>
      </c>
    </row>
    <row r="56" spans="1:7" ht="11.25" customHeight="1">
      <c r="A56" t="s">
        <v>16</v>
      </c>
      <c r="B56" t="s">
        <v>100</v>
      </c>
      <c r="C56" t="s">
        <v>3083</v>
      </c>
      <c r="D56" t="s">
        <v>3192</v>
      </c>
      <c r="E56" t="s">
        <v>3193</v>
      </c>
      <c r="F56" t="s">
        <v>3090</v>
      </c>
      <c r="G56" t="s">
        <v>1691</v>
      </c>
    </row>
    <row r="57" spans="1:7" ht="11.25" customHeight="1">
      <c r="A57" t="s">
        <v>16</v>
      </c>
      <c r="B57" t="s">
        <v>100</v>
      </c>
      <c r="C57" t="s">
        <v>3083</v>
      </c>
      <c r="D57" t="s">
        <v>3194</v>
      </c>
      <c r="E57" t="s">
        <v>3195</v>
      </c>
      <c r="F57" t="s">
        <v>3090</v>
      </c>
      <c r="G57" t="s">
        <v>1694</v>
      </c>
    </row>
    <row r="58" spans="1:7" ht="11.25" customHeight="1">
      <c r="A58" t="s">
        <v>16</v>
      </c>
      <c r="B58" t="s">
        <v>100</v>
      </c>
      <c r="C58" t="s">
        <v>3083</v>
      </c>
      <c r="D58" t="s">
        <v>3196</v>
      </c>
      <c r="E58" t="s">
        <v>3197</v>
      </c>
      <c r="F58" t="s">
        <v>3087</v>
      </c>
      <c r="G58" t="s">
        <v>1697</v>
      </c>
    </row>
    <row r="59" spans="1:7" ht="11.25" customHeight="1">
      <c r="A59" t="s">
        <v>16</v>
      </c>
      <c r="B59" t="s">
        <v>100</v>
      </c>
      <c r="C59" t="s">
        <v>3083</v>
      </c>
      <c r="D59" t="s">
        <v>3198</v>
      </c>
      <c r="E59" t="s">
        <v>3199</v>
      </c>
      <c r="F59" t="s">
        <v>3090</v>
      </c>
      <c r="G59" t="s">
        <v>1701</v>
      </c>
    </row>
    <row r="60" spans="1:7" ht="11.25" customHeight="1">
      <c r="A60" t="s">
        <v>16</v>
      </c>
      <c r="B60" t="s">
        <v>100</v>
      </c>
      <c r="C60" t="s">
        <v>3083</v>
      </c>
      <c r="D60" t="s">
        <v>3200</v>
      </c>
      <c r="E60" t="s">
        <v>3201</v>
      </c>
      <c r="F60" t="s">
        <v>3090</v>
      </c>
      <c r="G60" t="s">
        <v>1704</v>
      </c>
    </row>
    <row r="61" spans="1:7" ht="11.25" customHeight="1">
      <c r="A61" t="s">
        <v>16</v>
      </c>
      <c r="B61" t="s">
        <v>100</v>
      </c>
      <c r="C61" t="s">
        <v>3083</v>
      </c>
      <c r="D61" t="s">
        <v>3202</v>
      </c>
      <c r="E61" t="s">
        <v>3203</v>
      </c>
      <c r="F61" t="s">
        <v>3090</v>
      </c>
      <c r="G61" t="s">
        <v>3204</v>
      </c>
    </row>
    <row r="62" spans="1:7" ht="11.25" customHeight="1">
      <c r="A62" t="s">
        <v>16</v>
      </c>
      <c r="B62" t="s">
        <v>100</v>
      </c>
      <c r="C62" t="s">
        <v>3083</v>
      </c>
      <c r="D62" t="s">
        <v>3205</v>
      </c>
      <c r="E62" t="s">
        <v>3206</v>
      </c>
      <c r="F62" t="s">
        <v>3090</v>
      </c>
      <c r="G62" t="s">
        <v>3207</v>
      </c>
    </row>
    <row r="63" spans="1:7" ht="11.25" customHeight="1">
      <c r="A63" t="s">
        <v>16</v>
      </c>
      <c r="B63" t="s">
        <v>100</v>
      </c>
      <c r="C63" t="s">
        <v>3083</v>
      </c>
      <c r="D63" t="s">
        <v>3208</v>
      </c>
      <c r="E63" t="s">
        <v>3209</v>
      </c>
      <c r="F63" t="s">
        <v>3090</v>
      </c>
      <c r="G63" t="s">
        <v>3210</v>
      </c>
    </row>
    <row r="64" spans="1:7" ht="11.25" customHeight="1">
      <c r="A64" t="s">
        <v>16</v>
      </c>
      <c r="B64" t="s">
        <v>100</v>
      </c>
      <c r="C64" t="s">
        <v>3083</v>
      </c>
      <c r="D64" t="s">
        <v>3211</v>
      </c>
      <c r="E64" t="s">
        <v>3212</v>
      </c>
      <c r="F64" t="s">
        <v>3090</v>
      </c>
      <c r="G64" t="s">
        <v>3213</v>
      </c>
    </row>
    <row r="65" spans="1:7" ht="11.25" customHeight="1">
      <c r="A65" t="s">
        <v>16</v>
      </c>
      <c r="B65" t="s">
        <v>100</v>
      </c>
      <c r="C65" t="s">
        <v>3083</v>
      </c>
      <c r="D65" t="s">
        <v>3214</v>
      </c>
      <c r="E65" t="s">
        <v>3215</v>
      </c>
      <c r="F65" t="s">
        <v>3090</v>
      </c>
      <c r="G65" t="s">
        <v>3216</v>
      </c>
    </row>
    <row r="66" spans="1:7" ht="11.25" customHeight="1">
      <c r="A66" t="s">
        <v>16</v>
      </c>
      <c r="B66" t="s">
        <v>100</v>
      </c>
      <c r="C66" t="s">
        <v>3083</v>
      </c>
      <c r="D66" t="s">
        <v>3217</v>
      </c>
      <c r="E66" t="s">
        <v>3218</v>
      </c>
      <c r="F66" t="s">
        <v>3090</v>
      </c>
      <c r="G66" t="s">
        <v>3219</v>
      </c>
    </row>
    <row r="67" spans="1:7" ht="11.25" customHeight="1">
      <c r="A67" t="s">
        <v>16</v>
      </c>
      <c r="B67" t="s">
        <v>100</v>
      </c>
      <c r="C67" t="s">
        <v>3083</v>
      </c>
      <c r="D67" t="s">
        <v>3220</v>
      </c>
      <c r="E67" t="s">
        <v>3221</v>
      </c>
      <c r="F67" t="s">
        <v>3090</v>
      </c>
      <c r="G67" t="s">
        <v>2022</v>
      </c>
    </row>
    <row r="68" spans="1:7" ht="11.25" customHeight="1">
      <c r="A68" t="s">
        <v>16</v>
      </c>
      <c r="B68" t="s">
        <v>100</v>
      </c>
      <c r="C68" t="s">
        <v>3083</v>
      </c>
      <c r="D68" t="s">
        <v>3222</v>
      </c>
      <c r="E68" t="s">
        <v>3223</v>
      </c>
      <c r="F68" t="s">
        <v>3090</v>
      </c>
      <c r="G68" t="s">
        <v>3224</v>
      </c>
    </row>
    <row r="69" spans="1:7" ht="11.25" customHeight="1">
      <c r="A69" t="s">
        <v>16</v>
      </c>
      <c r="B69" t="s">
        <v>100</v>
      </c>
      <c r="C69" t="s">
        <v>3083</v>
      </c>
      <c r="D69" t="s">
        <v>3225</v>
      </c>
      <c r="E69" t="s">
        <v>3226</v>
      </c>
      <c r="F69" t="s">
        <v>3090</v>
      </c>
      <c r="G69" t="s">
        <v>2225</v>
      </c>
    </row>
    <row r="70" spans="1:7" ht="11.25" customHeight="1">
      <c r="A70" t="s">
        <v>16</v>
      </c>
      <c r="B70" t="s">
        <v>100</v>
      </c>
      <c r="C70" t="s">
        <v>3083</v>
      </c>
      <c r="D70" t="s">
        <v>3227</v>
      </c>
      <c r="E70" t="s">
        <v>3228</v>
      </c>
      <c r="F70" t="s">
        <v>3087</v>
      </c>
      <c r="G70" t="s">
        <v>3229</v>
      </c>
    </row>
    <row r="71" spans="1:7" ht="11.25" customHeight="1">
      <c r="A71" t="s">
        <v>16</v>
      </c>
      <c r="B71" t="s">
        <v>100</v>
      </c>
      <c r="C71" t="s">
        <v>3083</v>
      </c>
      <c r="D71" t="s">
        <v>3230</v>
      </c>
      <c r="E71" t="s">
        <v>3231</v>
      </c>
      <c r="F71" t="s">
        <v>3087</v>
      </c>
      <c r="G71" t="s">
        <v>3232</v>
      </c>
    </row>
    <row r="72" spans="1:7" ht="11.25" customHeight="1">
      <c r="A72" t="s">
        <v>16</v>
      </c>
      <c r="B72" t="s">
        <v>100</v>
      </c>
      <c r="C72" t="s">
        <v>3083</v>
      </c>
      <c r="D72" t="s">
        <v>3233</v>
      </c>
      <c r="E72" t="s">
        <v>3234</v>
      </c>
      <c r="F72" t="s">
        <v>3087</v>
      </c>
      <c r="G72" t="s">
        <v>3235</v>
      </c>
    </row>
    <row r="73" spans="1:7" ht="11.25" customHeight="1">
      <c r="A73" t="s">
        <v>16</v>
      </c>
      <c r="B73" t="s">
        <v>100</v>
      </c>
      <c r="C73" t="s">
        <v>3083</v>
      </c>
      <c r="D73" t="s">
        <v>3236</v>
      </c>
      <c r="E73" t="s">
        <v>3237</v>
      </c>
      <c r="F73" t="s">
        <v>3087</v>
      </c>
      <c r="G73" t="s">
        <v>3238</v>
      </c>
    </row>
    <row r="74" spans="1:7" ht="11.25" customHeight="1">
      <c r="A74" t="s">
        <v>16</v>
      </c>
      <c r="B74" t="s">
        <v>100</v>
      </c>
      <c r="C74" t="s">
        <v>3083</v>
      </c>
      <c r="D74" t="s">
        <v>3239</v>
      </c>
      <c r="E74" t="s">
        <v>3240</v>
      </c>
      <c r="F74" t="s">
        <v>3090</v>
      </c>
      <c r="G74" t="s">
        <v>3241</v>
      </c>
    </row>
    <row r="75" spans="1:7" ht="11.25" customHeight="1">
      <c r="A75" t="s">
        <v>16</v>
      </c>
      <c r="B75" t="s">
        <v>100</v>
      </c>
      <c r="C75" t="s">
        <v>3083</v>
      </c>
      <c r="D75" t="s">
        <v>3242</v>
      </c>
      <c r="E75" t="s">
        <v>3243</v>
      </c>
      <c r="F75" t="s">
        <v>3090</v>
      </c>
      <c r="G75" t="s">
        <v>3244</v>
      </c>
    </row>
    <row r="76" spans="1:7" ht="11.25" customHeight="1">
      <c r="A76" t="s">
        <v>16</v>
      </c>
      <c r="B76" t="s">
        <v>100</v>
      </c>
      <c r="C76" t="s">
        <v>3083</v>
      </c>
      <c r="D76" t="s">
        <v>3245</v>
      </c>
      <c r="E76" t="s">
        <v>3246</v>
      </c>
      <c r="F76" t="s">
        <v>3090</v>
      </c>
      <c r="G76" t="s">
        <v>3247</v>
      </c>
    </row>
    <row r="77" spans="1:7" ht="11.25" customHeight="1">
      <c r="A77" t="s">
        <v>16</v>
      </c>
      <c r="B77" t="s">
        <v>100</v>
      </c>
      <c r="C77" t="s">
        <v>3083</v>
      </c>
      <c r="D77" t="s">
        <v>3248</v>
      </c>
      <c r="E77" t="s">
        <v>3249</v>
      </c>
      <c r="F77" t="s">
        <v>3090</v>
      </c>
      <c r="G77" t="s">
        <v>3250</v>
      </c>
    </row>
    <row r="78" spans="1:7" ht="11.25" customHeight="1">
      <c r="A78" t="s">
        <v>16</v>
      </c>
      <c r="B78" t="s">
        <v>100</v>
      </c>
      <c r="C78" t="s">
        <v>3083</v>
      </c>
      <c r="D78" t="s">
        <v>3251</v>
      </c>
      <c r="E78" t="s">
        <v>3252</v>
      </c>
      <c r="F78" t="s">
        <v>3090</v>
      </c>
      <c r="G78" t="s">
        <v>3253</v>
      </c>
    </row>
    <row r="79" spans="1:7" ht="11.25" customHeight="1">
      <c r="A79" t="s">
        <v>16</v>
      </c>
      <c r="B79" t="s">
        <v>100</v>
      </c>
      <c r="C79" t="s">
        <v>3083</v>
      </c>
      <c r="D79" t="s">
        <v>3254</v>
      </c>
      <c r="E79" t="s">
        <v>3255</v>
      </c>
      <c r="F79" t="s">
        <v>3087</v>
      </c>
      <c r="G79" t="s">
        <v>3256</v>
      </c>
    </row>
    <row r="80" spans="1:7" ht="11.25" customHeight="1">
      <c r="A80" t="s">
        <v>16</v>
      </c>
      <c r="B80" t="s">
        <v>100</v>
      </c>
      <c r="C80" t="s">
        <v>3083</v>
      </c>
      <c r="D80" t="s">
        <v>3257</v>
      </c>
      <c r="E80" t="s">
        <v>3258</v>
      </c>
      <c r="F80" t="s">
        <v>3087</v>
      </c>
      <c r="G80" t="s">
        <v>3259</v>
      </c>
    </row>
    <row r="81" spans="1:7" ht="11.25" customHeight="1">
      <c r="A81" t="s">
        <v>16</v>
      </c>
      <c r="B81" t="s">
        <v>100</v>
      </c>
      <c r="C81" t="s">
        <v>3083</v>
      </c>
      <c r="D81" t="s">
        <v>3260</v>
      </c>
      <c r="E81" t="s">
        <v>3261</v>
      </c>
      <c r="F81" t="s">
        <v>3087</v>
      </c>
      <c r="G81" t="s">
        <v>3262</v>
      </c>
    </row>
    <row r="82" spans="1:7" ht="11.25" customHeight="1">
      <c r="A82" t="s">
        <v>16</v>
      </c>
      <c r="B82" t="s">
        <v>100</v>
      </c>
      <c r="C82" t="s">
        <v>3083</v>
      </c>
      <c r="D82" t="s">
        <v>3263</v>
      </c>
      <c r="E82" t="s">
        <v>3264</v>
      </c>
      <c r="F82" t="s">
        <v>3090</v>
      </c>
      <c r="G82" t="s">
        <v>3265</v>
      </c>
    </row>
    <row r="83" spans="1:7" ht="11.25" customHeight="1">
      <c r="A83" t="s">
        <v>16</v>
      </c>
      <c r="B83" t="s">
        <v>100</v>
      </c>
      <c r="C83" t="s">
        <v>3083</v>
      </c>
      <c r="D83" t="s">
        <v>3266</v>
      </c>
      <c r="E83" t="s">
        <v>3267</v>
      </c>
      <c r="F83" t="s">
        <v>3090</v>
      </c>
      <c r="G83" t="s">
        <v>3268</v>
      </c>
    </row>
    <row r="84" spans="1:7" ht="11.25" customHeight="1">
      <c r="A84" t="s">
        <v>16</v>
      </c>
      <c r="B84" t="s">
        <v>100</v>
      </c>
      <c r="C84" t="s">
        <v>3083</v>
      </c>
      <c r="D84" t="s">
        <v>3269</v>
      </c>
      <c r="E84" t="s">
        <v>3270</v>
      </c>
      <c r="F84" t="s">
        <v>3090</v>
      </c>
      <c r="G84" t="s">
        <v>3271</v>
      </c>
    </row>
    <row r="85" spans="1:7" ht="11.25" customHeight="1">
      <c r="A85" t="s">
        <v>16</v>
      </c>
      <c r="B85" t="s">
        <v>100</v>
      </c>
      <c r="C85" t="s">
        <v>3083</v>
      </c>
      <c r="D85" t="s">
        <v>3272</v>
      </c>
      <c r="E85" t="s">
        <v>3273</v>
      </c>
      <c r="F85" t="s">
        <v>3090</v>
      </c>
      <c r="G85" t="s">
        <v>3274</v>
      </c>
    </row>
    <row r="86" spans="1:7" ht="11.25" customHeight="1">
      <c r="A86" t="s">
        <v>16</v>
      </c>
      <c r="B86" t="s">
        <v>100</v>
      </c>
      <c r="C86" t="s">
        <v>3083</v>
      </c>
      <c r="D86" t="s">
        <v>3275</v>
      </c>
      <c r="E86" t="s">
        <v>3276</v>
      </c>
      <c r="F86" t="s">
        <v>3090</v>
      </c>
      <c r="G86" t="s">
        <v>3277</v>
      </c>
    </row>
    <row r="87" spans="1:7" ht="11.25" customHeight="1">
      <c r="A87" t="s">
        <v>16</v>
      </c>
      <c r="B87" t="s">
        <v>100</v>
      </c>
      <c r="C87" t="s">
        <v>3083</v>
      </c>
      <c r="D87" t="s">
        <v>3278</v>
      </c>
      <c r="E87" t="s">
        <v>3279</v>
      </c>
      <c r="F87" t="s">
        <v>3090</v>
      </c>
      <c r="G87" t="s">
        <v>3280</v>
      </c>
    </row>
    <row r="88" spans="1:7" ht="11.25" customHeight="1">
      <c r="A88" t="s">
        <v>16</v>
      </c>
      <c r="B88" t="s">
        <v>100</v>
      </c>
      <c r="C88" t="s">
        <v>3083</v>
      </c>
      <c r="D88" t="s">
        <v>3281</v>
      </c>
      <c r="E88" t="s">
        <v>3282</v>
      </c>
      <c r="F88" t="s">
        <v>3090</v>
      </c>
      <c r="G88" t="s">
        <v>3283</v>
      </c>
    </row>
    <row r="89" spans="1:7" ht="11.25" customHeight="1">
      <c r="A89" t="s">
        <v>16</v>
      </c>
      <c r="B89" t="s">
        <v>100</v>
      </c>
      <c r="C89" t="s">
        <v>3083</v>
      </c>
      <c r="D89" t="s">
        <v>3284</v>
      </c>
      <c r="E89" t="s">
        <v>3285</v>
      </c>
      <c r="F89" t="s">
        <v>3090</v>
      </c>
      <c r="G89" t="s">
        <v>3286</v>
      </c>
    </row>
    <row r="90" spans="1:7" ht="11.25" customHeight="1">
      <c r="A90" t="s">
        <v>16</v>
      </c>
      <c r="B90" t="s">
        <v>100</v>
      </c>
      <c r="C90" t="s">
        <v>3083</v>
      </c>
      <c r="D90" t="s">
        <v>3287</v>
      </c>
      <c r="E90" t="s">
        <v>3288</v>
      </c>
      <c r="F90" t="s">
        <v>3090</v>
      </c>
      <c r="G90" t="s">
        <v>3289</v>
      </c>
    </row>
    <row r="91" spans="1:7" ht="11.25" customHeight="1">
      <c r="A91" t="s">
        <v>16</v>
      </c>
      <c r="B91" t="s">
        <v>100</v>
      </c>
      <c r="C91" t="s">
        <v>3083</v>
      </c>
      <c r="D91" t="s">
        <v>3290</v>
      </c>
      <c r="E91" t="s">
        <v>3291</v>
      </c>
      <c r="F91" t="s">
        <v>3090</v>
      </c>
      <c r="G91" t="s">
        <v>3292</v>
      </c>
    </row>
    <row r="92" spans="1:7" ht="11.25" customHeight="1">
      <c r="A92" t="s">
        <v>16</v>
      </c>
      <c r="B92" t="s">
        <v>100</v>
      </c>
      <c r="C92" t="s">
        <v>3083</v>
      </c>
      <c r="D92" t="s">
        <v>3293</v>
      </c>
      <c r="E92" t="s">
        <v>3294</v>
      </c>
      <c r="F92" t="s">
        <v>3090</v>
      </c>
      <c r="G92" t="s">
        <v>3295</v>
      </c>
    </row>
    <row r="93" spans="1:7" ht="11.25" customHeight="1">
      <c r="A93" t="s">
        <v>16</v>
      </c>
      <c r="B93" t="s">
        <v>100</v>
      </c>
      <c r="C93" t="s">
        <v>3083</v>
      </c>
      <c r="D93" t="s">
        <v>3296</v>
      </c>
      <c r="E93" t="s">
        <v>3297</v>
      </c>
      <c r="F93" t="s">
        <v>3090</v>
      </c>
      <c r="G93" t="s">
        <v>3298</v>
      </c>
    </row>
    <row r="94" spans="1:7" ht="11.25" customHeight="1">
      <c r="A94" t="s">
        <v>16</v>
      </c>
      <c r="B94" t="s">
        <v>100</v>
      </c>
      <c r="C94" t="s">
        <v>3083</v>
      </c>
      <c r="D94" t="s">
        <v>3299</v>
      </c>
      <c r="E94" t="s">
        <v>3300</v>
      </c>
      <c r="F94" t="s">
        <v>3090</v>
      </c>
      <c r="G94" t="s">
        <v>3301</v>
      </c>
    </row>
    <row r="95" spans="1:7" ht="11.25" customHeight="1">
      <c r="A95" t="s">
        <v>16</v>
      </c>
      <c r="B95" t="s">
        <v>100</v>
      </c>
      <c r="C95" t="s">
        <v>3083</v>
      </c>
      <c r="D95" t="s">
        <v>3302</v>
      </c>
      <c r="E95" t="s">
        <v>3303</v>
      </c>
      <c r="F95" t="s">
        <v>3090</v>
      </c>
      <c r="G95" t="s">
        <v>3304</v>
      </c>
    </row>
    <row r="96" spans="1:7" ht="11.25" customHeight="1">
      <c r="A96" t="s">
        <v>16</v>
      </c>
      <c r="B96" t="s">
        <v>100</v>
      </c>
      <c r="C96" t="s">
        <v>3083</v>
      </c>
      <c r="D96" t="s">
        <v>3305</v>
      </c>
      <c r="E96" t="s">
        <v>3306</v>
      </c>
      <c r="F96" t="s">
        <v>3090</v>
      </c>
      <c r="G96" t="s">
        <v>3307</v>
      </c>
    </row>
    <row r="97" spans="1:7" ht="11.25" customHeight="1">
      <c r="A97" t="s">
        <v>16</v>
      </c>
      <c r="B97" t="s">
        <v>100</v>
      </c>
      <c r="C97" t="s">
        <v>3083</v>
      </c>
      <c r="D97" t="s">
        <v>3308</v>
      </c>
      <c r="E97" t="s">
        <v>3309</v>
      </c>
      <c r="F97" t="s">
        <v>3087</v>
      </c>
      <c r="G97" t="s">
        <v>3310</v>
      </c>
    </row>
    <row r="98" spans="1:7" ht="11.25" customHeight="1">
      <c r="A98" t="s">
        <v>16</v>
      </c>
      <c r="B98" t="s">
        <v>100</v>
      </c>
      <c r="C98" t="s">
        <v>3083</v>
      </c>
      <c r="D98" t="s">
        <v>3311</v>
      </c>
      <c r="E98" t="s">
        <v>3312</v>
      </c>
      <c r="F98" t="s">
        <v>3090</v>
      </c>
      <c r="G98" t="s">
        <v>3313</v>
      </c>
    </row>
    <row r="99" spans="1:7" ht="11.25" customHeight="1">
      <c r="A99" t="s">
        <v>16</v>
      </c>
      <c r="B99" t="s">
        <v>100</v>
      </c>
      <c r="C99" t="s">
        <v>3083</v>
      </c>
      <c r="D99" t="s">
        <v>3314</v>
      </c>
      <c r="E99" t="s">
        <v>3315</v>
      </c>
      <c r="F99" t="s">
        <v>3090</v>
      </c>
      <c r="G99" t="s">
        <v>3316</v>
      </c>
    </row>
    <row r="100" spans="1:7" ht="11.25" customHeight="1">
      <c r="A100" t="s">
        <v>16</v>
      </c>
      <c r="B100" t="s">
        <v>100</v>
      </c>
      <c r="C100" t="s">
        <v>3083</v>
      </c>
      <c r="D100" t="s">
        <v>3317</v>
      </c>
      <c r="E100" t="s">
        <v>3318</v>
      </c>
      <c r="F100" t="s">
        <v>3090</v>
      </c>
      <c r="G100" t="s">
        <v>3319</v>
      </c>
    </row>
    <row r="101" spans="1:7" ht="11.25" customHeight="1">
      <c r="A101" t="s">
        <v>16</v>
      </c>
      <c r="B101" t="s">
        <v>100</v>
      </c>
      <c r="C101" t="s">
        <v>3083</v>
      </c>
      <c r="D101" t="s">
        <v>3320</v>
      </c>
      <c r="E101" t="s">
        <v>3321</v>
      </c>
      <c r="F101" t="s">
        <v>3090</v>
      </c>
      <c r="G101" t="s">
        <v>3322</v>
      </c>
    </row>
    <row r="102" spans="1:7" ht="11.25" customHeight="1">
      <c r="A102" t="s">
        <v>16</v>
      </c>
      <c r="B102" t="s">
        <v>100</v>
      </c>
      <c r="C102" t="s">
        <v>3083</v>
      </c>
      <c r="D102" t="s">
        <v>3323</v>
      </c>
      <c r="E102" t="s">
        <v>3324</v>
      </c>
      <c r="F102" t="s">
        <v>3090</v>
      </c>
      <c r="G102" t="s">
        <v>3325</v>
      </c>
    </row>
    <row r="103" spans="1:7" ht="11.25" customHeight="1">
      <c r="A103" t="s">
        <v>16</v>
      </c>
      <c r="B103" t="s">
        <v>100</v>
      </c>
      <c r="C103" t="s">
        <v>3083</v>
      </c>
      <c r="D103" t="s">
        <v>3326</v>
      </c>
      <c r="E103" t="s">
        <v>3327</v>
      </c>
      <c r="F103" t="s">
        <v>3090</v>
      </c>
      <c r="G103" t="s">
        <v>3328</v>
      </c>
    </row>
    <row r="104" spans="1:7" ht="11.25" customHeight="1">
      <c r="A104" t="s">
        <v>16</v>
      </c>
      <c r="B104" t="s">
        <v>100</v>
      </c>
      <c r="C104" t="s">
        <v>3083</v>
      </c>
      <c r="D104" t="s">
        <v>3329</v>
      </c>
      <c r="E104" t="s">
        <v>3330</v>
      </c>
      <c r="F104" t="s">
        <v>3090</v>
      </c>
      <c r="G104" t="s">
        <v>3331</v>
      </c>
    </row>
    <row r="105" spans="1:7" ht="11.25" customHeight="1">
      <c r="A105" t="s">
        <v>16</v>
      </c>
      <c r="B105" t="s">
        <v>100</v>
      </c>
      <c r="C105" t="s">
        <v>3083</v>
      </c>
      <c r="D105" t="s">
        <v>3332</v>
      </c>
      <c r="E105" t="s">
        <v>3333</v>
      </c>
      <c r="F105" t="s">
        <v>3090</v>
      </c>
      <c r="G105" t="s">
        <v>3334</v>
      </c>
    </row>
    <row r="106" spans="1:7" ht="11.25" customHeight="1">
      <c r="A106" t="s">
        <v>16</v>
      </c>
      <c r="B106" t="s">
        <v>100</v>
      </c>
      <c r="C106" t="s">
        <v>3083</v>
      </c>
      <c r="D106" t="s">
        <v>3335</v>
      </c>
      <c r="E106" t="s">
        <v>3336</v>
      </c>
      <c r="F106" t="s">
        <v>3090</v>
      </c>
      <c r="G106" t="s">
        <v>3337</v>
      </c>
    </row>
    <row r="107" spans="1:7" ht="11.25" customHeight="1">
      <c r="A107" t="s">
        <v>16</v>
      </c>
      <c r="B107" t="s">
        <v>100</v>
      </c>
      <c r="C107" t="s">
        <v>3083</v>
      </c>
      <c r="D107" t="s">
        <v>3338</v>
      </c>
      <c r="E107" t="s">
        <v>3339</v>
      </c>
      <c r="F107" t="s">
        <v>3087</v>
      </c>
      <c r="G107" t="s">
        <v>3340</v>
      </c>
    </row>
    <row r="108" spans="1:7" ht="11.25" customHeight="1">
      <c r="A108" t="s">
        <v>16</v>
      </c>
      <c r="B108" t="s">
        <v>100</v>
      </c>
      <c r="C108" t="s">
        <v>3083</v>
      </c>
      <c r="D108" t="s">
        <v>3341</v>
      </c>
      <c r="E108" t="s">
        <v>3342</v>
      </c>
      <c r="F108" t="s">
        <v>3090</v>
      </c>
      <c r="G108" t="s">
        <v>3343</v>
      </c>
    </row>
    <row r="109" spans="1:7" ht="11.25" customHeight="1">
      <c r="A109" t="s">
        <v>16</v>
      </c>
      <c r="B109" t="s">
        <v>100</v>
      </c>
      <c r="C109" t="s">
        <v>3083</v>
      </c>
      <c r="D109" t="s">
        <v>3344</v>
      </c>
      <c r="E109" t="s">
        <v>3345</v>
      </c>
      <c r="F109" t="s">
        <v>3090</v>
      </c>
      <c r="G109" t="s">
        <v>3346</v>
      </c>
    </row>
    <row r="110" spans="1:7" ht="11.25" customHeight="1">
      <c r="A110" t="s">
        <v>16</v>
      </c>
      <c r="B110" t="s">
        <v>100</v>
      </c>
      <c r="C110" t="s">
        <v>3083</v>
      </c>
      <c r="D110" t="s">
        <v>3347</v>
      </c>
      <c r="E110" t="s">
        <v>3348</v>
      </c>
      <c r="F110" t="s">
        <v>3090</v>
      </c>
      <c r="G110" t="s">
        <v>3349</v>
      </c>
    </row>
    <row r="111" spans="1:7" ht="11.25" customHeight="1">
      <c r="A111" t="s">
        <v>16</v>
      </c>
      <c r="B111" t="s">
        <v>100</v>
      </c>
      <c r="C111" t="s">
        <v>3083</v>
      </c>
      <c r="D111" t="s">
        <v>3350</v>
      </c>
      <c r="E111" t="s">
        <v>3351</v>
      </c>
      <c r="F111" t="s">
        <v>3090</v>
      </c>
      <c r="G111" t="s">
        <v>3352</v>
      </c>
    </row>
    <row r="112" spans="1:7" ht="11.25" customHeight="1">
      <c r="A112" t="s">
        <v>16</v>
      </c>
      <c r="B112" t="s">
        <v>100</v>
      </c>
      <c r="C112" t="s">
        <v>3083</v>
      </c>
      <c r="D112" t="s">
        <v>3353</v>
      </c>
      <c r="E112" t="s">
        <v>3354</v>
      </c>
      <c r="F112" t="s">
        <v>3087</v>
      </c>
      <c r="G112" t="s">
        <v>3355</v>
      </c>
    </row>
    <row r="113" spans="1:7" ht="11.25" customHeight="1">
      <c r="A113" t="s">
        <v>16</v>
      </c>
      <c r="B113" t="s">
        <v>100</v>
      </c>
      <c r="C113" t="s">
        <v>3083</v>
      </c>
      <c r="D113" t="s">
        <v>3356</v>
      </c>
      <c r="E113" t="s">
        <v>3357</v>
      </c>
      <c r="F113" t="s">
        <v>3090</v>
      </c>
      <c r="G113" t="s">
        <v>3358</v>
      </c>
    </row>
    <row r="114" spans="1:7" ht="11.25" customHeight="1">
      <c r="A114" t="s">
        <v>16</v>
      </c>
      <c r="B114" t="s">
        <v>100</v>
      </c>
      <c r="C114" t="s">
        <v>3083</v>
      </c>
      <c r="D114" t="s">
        <v>3359</v>
      </c>
      <c r="E114" t="s">
        <v>3360</v>
      </c>
      <c r="F114" t="s">
        <v>3090</v>
      </c>
      <c r="G114" t="s">
        <v>3361</v>
      </c>
    </row>
    <row r="115" spans="1:7" ht="11.25" customHeight="1">
      <c r="A115" t="s">
        <v>16</v>
      </c>
      <c r="B115" t="s">
        <v>100</v>
      </c>
      <c r="C115" t="s">
        <v>3083</v>
      </c>
      <c r="D115" t="s">
        <v>3362</v>
      </c>
      <c r="E115" t="s">
        <v>3363</v>
      </c>
      <c r="F115" t="s">
        <v>3090</v>
      </c>
      <c r="G115" t="s">
        <v>3364</v>
      </c>
    </row>
    <row r="116" spans="1:7" ht="11.25" customHeight="1">
      <c r="A116" t="s">
        <v>16</v>
      </c>
      <c r="B116" t="s">
        <v>100</v>
      </c>
      <c r="C116" t="s">
        <v>3083</v>
      </c>
      <c r="D116" t="s">
        <v>3365</v>
      </c>
      <c r="E116" t="s">
        <v>3366</v>
      </c>
      <c r="F116" t="s">
        <v>3090</v>
      </c>
      <c r="G116" t="s">
        <v>3367</v>
      </c>
    </row>
    <row r="117" spans="1:7" ht="11.25" customHeight="1">
      <c r="A117" t="s">
        <v>16</v>
      </c>
      <c r="B117" t="s">
        <v>100</v>
      </c>
      <c r="C117" t="s">
        <v>3083</v>
      </c>
      <c r="D117" t="s">
        <v>3368</v>
      </c>
      <c r="E117" t="s">
        <v>3369</v>
      </c>
      <c r="F117" t="s">
        <v>3087</v>
      </c>
      <c r="G117" t="s">
        <v>3370</v>
      </c>
    </row>
    <row r="118" spans="1:7" ht="11.25" customHeight="1">
      <c r="A118" t="s">
        <v>16</v>
      </c>
      <c r="B118" t="s">
        <v>100</v>
      </c>
      <c r="C118" t="s">
        <v>3083</v>
      </c>
      <c r="D118" t="s">
        <v>3371</v>
      </c>
      <c r="E118" t="s">
        <v>3372</v>
      </c>
      <c r="F118" t="s">
        <v>3090</v>
      </c>
      <c r="G118" t="s">
        <v>3373</v>
      </c>
    </row>
    <row r="119" spans="1:7" ht="11.25" customHeight="1">
      <c r="A119" t="s">
        <v>16</v>
      </c>
      <c r="B119" t="s">
        <v>100</v>
      </c>
      <c r="C119" t="s">
        <v>3083</v>
      </c>
      <c r="D119" t="s">
        <v>3374</v>
      </c>
      <c r="E119" t="s">
        <v>3375</v>
      </c>
      <c r="F119" t="s">
        <v>3090</v>
      </c>
      <c r="G119" t="s">
        <v>3376</v>
      </c>
    </row>
    <row r="120" spans="1:7" ht="11.25" customHeight="1">
      <c r="A120" t="s">
        <v>16</v>
      </c>
      <c r="B120" t="s">
        <v>100</v>
      </c>
      <c r="C120" t="s">
        <v>3083</v>
      </c>
      <c r="D120" t="s">
        <v>3377</v>
      </c>
      <c r="E120" t="s">
        <v>3378</v>
      </c>
      <c r="F120" t="s">
        <v>3090</v>
      </c>
      <c r="G120" t="s">
        <v>3379</v>
      </c>
    </row>
    <row r="121" spans="1:7" ht="11.25" customHeight="1">
      <c r="A121" t="s">
        <v>16</v>
      </c>
      <c r="B121" t="s">
        <v>100</v>
      </c>
      <c r="C121" t="s">
        <v>3083</v>
      </c>
      <c r="D121" t="s">
        <v>3380</v>
      </c>
      <c r="E121" t="s">
        <v>3381</v>
      </c>
      <c r="F121" t="s">
        <v>3090</v>
      </c>
      <c r="G121" t="s">
        <v>3382</v>
      </c>
    </row>
    <row r="122" spans="1:7" ht="11.25" customHeight="1">
      <c r="A122" t="s">
        <v>16</v>
      </c>
      <c r="B122" t="s">
        <v>100</v>
      </c>
      <c r="C122" t="s">
        <v>3083</v>
      </c>
      <c r="D122" t="s">
        <v>3383</v>
      </c>
      <c r="E122" t="s">
        <v>3384</v>
      </c>
      <c r="F122" t="s">
        <v>3087</v>
      </c>
      <c r="G122" t="s">
        <v>3385</v>
      </c>
    </row>
    <row r="123" spans="1:7" ht="11.25" customHeight="1">
      <c r="A123" t="s">
        <v>16</v>
      </c>
      <c r="B123" t="s">
        <v>100</v>
      </c>
      <c r="C123" t="s">
        <v>3083</v>
      </c>
      <c r="D123" t="s">
        <v>3386</v>
      </c>
      <c r="E123" t="s">
        <v>3387</v>
      </c>
      <c r="F123" t="s">
        <v>3087</v>
      </c>
      <c r="G123" t="s">
        <v>3388</v>
      </c>
    </row>
    <row r="124" spans="1:7" ht="11.25" customHeight="1">
      <c r="A124" t="s">
        <v>16</v>
      </c>
      <c r="B124" t="s">
        <v>100</v>
      </c>
      <c r="C124" t="s">
        <v>3083</v>
      </c>
      <c r="D124" t="s">
        <v>3389</v>
      </c>
      <c r="E124" t="s">
        <v>3390</v>
      </c>
      <c r="F124" t="s">
        <v>3087</v>
      </c>
      <c r="G124" t="s">
        <v>3391</v>
      </c>
    </row>
    <row r="125" spans="1:7" ht="11.25" customHeight="1">
      <c r="A125" t="s">
        <v>16</v>
      </c>
      <c r="B125" t="s">
        <v>100</v>
      </c>
      <c r="C125" t="s">
        <v>3083</v>
      </c>
      <c r="D125" t="s">
        <v>3392</v>
      </c>
      <c r="E125" t="s">
        <v>3393</v>
      </c>
      <c r="F125" t="s">
        <v>3087</v>
      </c>
      <c r="G125" t="s">
        <v>3394</v>
      </c>
    </row>
    <row r="126" spans="1:7" ht="11.25" customHeight="1">
      <c r="A126" t="s">
        <v>16</v>
      </c>
      <c r="B126" t="s">
        <v>100</v>
      </c>
      <c r="C126" t="s">
        <v>3083</v>
      </c>
      <c r="D126" t="s">
        <v>3395</v>
      </c>
      <c r="E126" t="s">
        <v>3396</v>
      </c>
      <c r="F126" t="s">
        <v>3087</v>
      </c>
      <c r="G126" t="s">
        <v>3397</v>
      </c>
    </row>
    <row r="127" spans="1:7" ht="11.25" customHeight="1">
      <c r="A127" t="s">
        <v>16</v>
      </c>
      <c r="B127" t="s">
        <v>100</v>
      </c>
      <c r="C127" t="s">
        <v>3083</v>
      </c>
      <c r="D127" t="s">
        <v>3398</v>
      </c>
      <c r="E127" t="s">
        <v>3399</v>
      </c>
      <c r="F127" t="s">
        <v>3087</v>
      </c>
      <c r="G127" t="s">
        <v>3400</v>
      </c>
    </row>
    <row r="128" spans="1:7" ht="11.25" customHeight="1">
      <c r="A128" t="s">
        <v>16</v>
      </c>
      <c r="B128" t="s">
        <v>100</v>
      </c>
      <c r="C128" t="s">
        <v>3083</v>
      </c>
      <c r="D128" t="s">
        <v>3401</v>
      </c>
      <c r="E128" t="s">
        <v>3402</v>
      </c>
      <c r="F128" t="s">
        <v>3090</v>
      </c>
      <c r="G128" t="s">
        <v>3403</v>
      </c>
    </row>
    <row r="129" spans="1:7" ht="11.25" customHeight="1">
      <c r="A129" t="s">
        <v>16</v>
      </c>
      <c r="B129" t="s">
        <v>100</v>
      </c>
      <c r="C129" t="s">
        <v>3083</v>
      </c>
      <c r="D129" t="s">
        <v>3404</v>
      </c>
      <c r="E129" t="s">
        <v>3405</v>
      </c>
      <c r="F129" t="s">
        <v>3087</v>
      </c>
      <c r="G129" t="s">
        <v>3406</v>
      </c>
    </row>
    <row r="130" spans="1:7" ht="11.25" customHeight="1">
      <c r="A130" t="s">
        <v>16</v>
      </c>
      <c r="B130" t="s">
        <v>100</v>
      </c>
      <c r="C130" t="s">
        <v>3083</v>
      </c>
      <c r="D130" t="s">
        <v>3407</v>
      </c>
      <c r="E130" t="s">
        <v>3408</v>
      </c>
      <c r="F130" t="s">
        <v>3090</v>
      </c>
      <c r="G130" t="s">
        <v>3409</v>
      </c>
    </row>
    <row r="131" spans="1:7" ht="11.25" customHeight="1">
      <c r="A131" t="s">
        <v>16</v>
      </c>
      <c r="B131" t="s">
        <v>100</v>
      </c>
      <c r="C131" t="s">
        <v>3083</v>
      </c>
      <c r="D131" t="s">
        <v>3410</v>
      </c>
      <c r="E131" t="s">
        <v>3411</v>
      </c>
      <c r="F131" t="s">
        <v>3090</v>
      </c>
      <c r="G131" t="s">
        <v>3412</v>
      </c>
    </row>
    <row r="132" spans="1:7" ht="11.25" customHeight="1">
      <c r="A132" t="s">
        <v>16</v>
      </c>
      <c r="B132" t="s">
        <v>100</v>
      </c>
      <c r="C132" t="s">
        <v>3083</v>
      </c>
      <c r="D132" t="s">
        <v>3413</v>
      </c>
      <c r="E132" t="s">
        <v>3414</v>
      </c>
      <c r="F132" t="s">
        <v>3090</v>
      </c>
      <c r="G132" t="s">
        <v>3415</v>
      </c>
    </row>
    <row r="133" spans="1:7" ht="11.25" customHeight="1">
      <c r="A133" t="s">
        <v>16</v>
      </c>
      <c r="B133" t="s">
        <v>100</v>
      </c>
      <c r="C133" t="s">
        <v>3083</v>
      </c>
      <c r="D133" t="s">
        <v>3416</v>
      </c>
      <c r="E133" t="s">
        <v>3417</v>
      </c>
      <c r="F133" t="s">
        <v>3090</v>
      </c>
      <c r="G133" t="s">
        <v>3418</v>
      </c>
    </row>
    <row r="134" spans="1:7" ht="11.25" customHeight="1">
      <c r="A134" t="s">
        <v>16</v>
      </c>
      <c r="B134" t="s">
        <v>100</v>
      </c>
      <c r="C134" t="s">
        <v>3083</v>
      </c>
      <c r="D134" t="s">
        <v>3419</v>
      </c>
      <c r="E134" t="s">
        <v>3420</v>
      </c>
      <c r="F134" t="s">
        <v>3090</v>
      </c>
      <c r="G134" t="s">
        <v>3421</v>
      </c>
    </row>
    <row r="135" spans="1:7" ht="11.25" customHeight="1">
      <c r="A135" t="s">
        <v>16</v>
      </c>
      <c r="B135" t="s">
        <v>100</v>
      </c>
      <c r="C135" t="s">
        <v>3083</v>
      </c>
      <c r="D135" t="s">
        <v>3422</v>
      </c>
      <c r="E135" t="s">
        <v>3423</v>
      </c>
      <c r="F135" t="s">
        <v>3087</v>
      </c>
      <c r="G135" t="s">
        <v>3424</v>
      </c>
    </row>
    <row r="136" spans="1:7" ht="11.25" customHeight="1">
      <c r="A136" t="s">
        <v>16</v>
      </c>
      <c r="B136" t="s">
        <v>100</v>
      </c>
      <c r="C136" t="s">
        <v>3083</v>
      </c>
      <c r="D136" t="s">
        <v>3425</v>
      </c>
      <c r="E136" t="s">
        <v>3426</v>
      </c>
      <c r="F136" t="s">
        <v>3087</v>
      </c>
      <c r="G136" t="s">
        <v>3427</v>
      </c>
    </row>
    <row r="137" spans="1:7" ht="11.25" customHeight="1">
      <c r="A137" t="s">
        <v>16</v>
      </c>
      <c r="B137" t="s">
        <v>100</v>
      </c>
      <c r="C137" t="s">
        <v>3083</v>
      </c>
      <c r="D137" t="s">
        <v>3428</v>
      </c>
      <c r="E137" t="s">
        <v>3429</v>
      </c>
      <c r="F137" t="s">
        <v>3087</v>
      </c>
      <c r="G137" t="s">
        <v>3430</v>
      </c>
    </row>
    <row r="138" spans="1:7" ht="11.25" customHeight="1">
      <c r="A138" t="s">
        <v>16</v>
      </c>
      <c r="B138" t="s">
        <v>100</v>
      </c>
      <c r="C138" t="s">
        <v>3083</v>
      </c>
      <c r="D138" t="s">
        <v>3431</v>
      </c>
      <c r="E138" t="s">
        <v>3432</v>
      </c>
      <c r="F138" t="s">
        <v>3087</v>
      </c>
      <c r="G138" t="s">
        <v>3433</v>
      </c>
    </row>
    <row r="139" spans="1:7" ht="11.25" customHeight="1">
      <c r="A139" t="s">
        <v>16</v>
      </c>
      <c r="B139" t="s">
        <v>100</v>
      </c>
      <c r="C139" t="s">
        <v>3083</v>
      </c>
      <c r="D139" t="s">
        <v>3434</v>
      </c>
      <c r="E139" t="s">
        <v>3435</v>
      </c>
      <c r="F139" t="s">
        <v>3087</v>
      </c>
      <c r="G139" t="s">
        <v>3436</v>
      </c>
    </row>
    <row r="140" spans="1:7" ht="11.25" customHeight="1">
      <c r="A140" t="s">
        <v>16</v>
      </c>
      <c r="B140" t="s">
        <v>100</v>
      </c>
      <c r="C140" t="s">
        <v>3083</v>
      </c>
      <c r="D140" t="s">
        <v>3437</v>
      </c>
      <c r="E140" t="s">
        <v>3438</v>
      </c>
      <c r="F140" t="s">
        <v>3087</v>
      </c>
      <c r="G140" t="s">
        <v>3439</v>
      </c>
    </row>
    <row r="141" spans="1:7" ht="11.25" customHeight="1">
      <c r="A141" t="s">
        <v>16</v>
      </c>
      <c r="B141" t="s">
        <v>100</v>
      </c>
      <c r="C141" t="s">
        <v>3083</v>
      </c>
      <c r="D141" t="s">
        <v>3440</v>
      </c>
      <c r="E141" t="s">
        <v>3441</v>
      </c>
      <c r="F141" t="s">
        <v>3087</v>
      </c>
      <c r="G141" t="s">
        <v>3442</v>
      </c>
    </row>
    <row r="142" spans="1:7" ht="11.25" customHeight="1">
      <c r="A142" t="s">
        <v>16</v>
      </c>
      <c r="B142" t="s">
        <v>100</v>
      </c>
      <c r="C142" t="s">
        <v>3083</v>
      </c>
      <c r="D142" t="s">
        <v>3443</v>
      </c>
      <c r="E142" t="s">
        <v>3444</v>
      </c>
      <c r="F142" t="s">
        <v>3087</v>
      </c>
      <c r="G142" t="s">
        <v>3445</v>
      </c>
    </row>
    <row r="143" spans="1:7" ht="11.25" customHeight="1">
      <c r="A143" t="s">
        <v>16</v>
      </c>
      <c r="B143" t="s">
        <v>100</v>
      </c>
      <c r="C143" t="s">
        <v>3083</v>
      </c>
      <c r="D143" t="s">
        <v>3446</v>
      </c>
      <c r="E143" t="s">
        <v>3447</v>
      </c>
      <c r="F143" t="s">
        <v>3087</v>
      </c>
      <c r="G143" t="s">
        <v>3448</v>
      </c>
    </row>
    <row r="144" spans="1:7" ht="11.25" customHeight="1">
      <c r="A144" t="s">
        <v>16</v>
      </c>
      <c r="B144" t="s">
        <v>100</v>
      </c>
      <c r="C144" t="s">
        <v>3083</v>
      </c>
      <c r="D144" t="s">
        <v>101</v>
      </c>
      <c r="E144" t="s">
        <v>102</v>
      </c>
      <c r="F144" t="s">
        <v>3087</v>
      </c>
      <c r="G144" t="s">
        <v>99</v>
      </c>
    </row>
    <row r="145" spans="1:7" ht="11.25" customHeight="1">
      <c r="A145" t="s">
        <v>16</v>
      </c>
      <c r="B145" t="s">
        <v>100</v>
      </c>
      <c r="C145" t="s">
        <v>3083</v>
      </c>
      <c r="D145" t="s">
        <v>3449</v>
      </c>
      <c r="E145" t="s">
        <v>3450</v>
      </c>
      <c r="F145" t="s">
        <v>3087</v>
      </c>
      <c r="G145" t="s">
        <v>3451</v>
      </c>
    </row>
    <row r="146" spans="1:7" ht="11.25" customHeight="1">
      <c r="A146" t="s">
        <v>16</v>
      </c>
      <c r="B146" t="s">
        <v>100</v>
      </c>
      <c r="C146" t="s">
        <v>3083</v>
      </c>
      <c r="D146" t="s">
        <v>3452</v>
      </c>
      <c r="E146" t="s">
        <v>3453</v>
      </c>
      <c r="F146" t="s">
        <v>3087</v>
      </c>
      <c r="G146" t="s">
        <v>3454</v>
      </c>
    </row>
    <row r="147" spans="1:7" ht="11.25" customHeight="1">
      <c r="A147" t="s">
        <v>16</v>
      </c>
      <c r="B147" t="s">
        <v>100</v>
      </c>
      <c r="C147" t="s">
        <v>3083</v>
      </c>
      <c r="D147" t="s">
        <v>3455</v>
      </c>
      <c r="E147" t="s">
        <v>3456</v>
      </c>
      <c r="F147" t="s">
        <v>3087</v>
      </c>
      <c r="G147" t="s">
        <v>3457</v>
      </c>
    </row>
    <row r="148" spans="1:7" ht="11.25" customHeight="1">
      <c r="A148" t="s">
        <v>16</v>
      </c>
      <c r="B148" t="s">
        <v>100</v>
      </c>
      <c r="C148" t="s">
        <v>3083</v>
      </c>
      <c r="D148" t="s">
        <v>3458</v>
      </c>
      <c r="E148" t="s">
        <v>3459</v>
      </c>
      <c r="F148" t="s">
        <v>3087</v>
      </c>
      <c r="G148" t="s">
        <v>3460</v>
      </c>
    </row>
    <row r="149" spans="1:7" ht="11.25" customHeight="1">
      <c r="A149" t="s">
        <v>16</v>
      </c>
      <c r="B149" t="s">
        <v>100</v>
      </c>
      <c r="C149" t="s">
        <v>3083</v>
      </c>
      <c r="D149" t="s">
        <v>3461</v>
      </c>
      <c r="E149" t="s">
        <v>3462</v>
      </c>
      <c r="F149" t="s">
        <v>3087</v>
      </c>
      <c r="G149" t="s">
        <v>3463</v>
      </c>
    </row>
    <row r="150" spans="1:7" ht="11.25" customHeight="1">
      <c r="A150" t="s">
        <v>16</v>
      </c>
      <c r="B150" t="s">
        <v>100</v>
      </c>
      <c r="C150" t="s">
        <v>3083</v>
      </c>
      <c r="D150" t="s">
        <v>3464</v>
      </c>
      <c r="E150" t="s">
        <v>3465</v>
      </c>
      <c r="F150" t="s">
        <v>3087</v>
      </c>
      <c r="G150" t="s">
        <v>3466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89A2-761F-8481-673E-937F3AECFF91}">
  <sheetPr>
    <tabColor rgb="FFFFCC99"/>
  </sheetPr>
  <dimension ref="A1:C3"/>
  <sheetViews>
    <sheetView showGridLines="0" workbookViewId="0"/>
  </sheetViews>
  <sheetFormatPr defaultColWidth="9.140625" defaultRowHeight="11.25" customHeight="1"/>
  <cols>
    <col min="2" max="2" width="84.28515625" customWidth="1"/>
  </cols>
  <sheetData>
    <row r="1" spans="1:3" ht="11.25" customHeight="1">
      <c r="A1" s="497" t="s">
        <v>3515</v>
      </c>
      <c r="B1" s="497" t="s">
        <v>3516</v>
      </c>
      <c r="C1" s="497" t="s">
        <v>1167</v>
      </c>
    </row>
    <row r="2" spans="1:3" ht="11.25" customHeight="1">
      <c r="A2" s="497">
        <v>4189678</v>
      </c>
      <c r="B2" s="497" t="s">
        <v>3517</v>
      </c>
      <c r="C2" s="497" t="s">
        <v>3518</v>
      </c>
    </row>
    <row r="3" spans="1:3" ht="11.25" customHeight="1">
      <c r="A3" s="497">
        <v>4190415</v>
      </c>
      <c r="B3" s="497" t="s">
        <v>3519</v>
      </c>
      <c r="C3" s="497" t="s">
        <v>3518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517F-E729-DA3E-1F78-2EBDEC74B715}">
  <sheetPr>
    <tabColor rgb="FFFFCC99"/>
  </sheetPr>
  <dimension ref="A1:B1"/>
  <sheetViews>
    <sheetView showGridLines="0" workbookViewId="0"/>
  </sheetViews>
  <sheetFormatPr defaultColWidth="9.140625" defaultRowHeight="15" customHeight="1"/>
  <cols>
    <col min="1" max="1" width="38.42578125" customWidth="1"/>
  </cols>
  <sheetData>
    <row r="1" spans="1:2" ht="15" customHeight="1">
      <c r="A1" s="948" t="s">
        <v>3520</v>
      </c>
      <c r="B1" s="948" t="s">
        <v>3521</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80AA-0AA6-96D8-9284-780135C1F447}">
  <sheetPr>
    <tabColor rgb="FFFFCC99"/>
  </sheetPr>
  <dimension ref="A1:B15"/>
  <sheetViews>
    <sheetView workbookViewId="0"/>
  </sheetViews>
  <sheetFormatPr defaultRowHeight="11.25" customHeight="1"/>
  <sheetData>
    <row r="1" spans="1:2" ht="11.25" customHeight="1">
      <c r="A1" t="s">
        <v>3522</v>
      </c>
      <c r="B1" t="b">
        <v>1</v>
      </c>
    </row>
    <row r="2" spans="1:2" ht="11.25" customHeight="1">
      <c r="A2" t="s">
        <v>3523</v>
      </c>
      <c r="B2" t="b">
        <v>0</v>
      </c>
    </row>
    <row r="3" spans="1:2" ht="11.25" customHeight="1">
      <c r="A3" t="s">
        <v>3524</v>
      </c>
      <c r="B3" t="b">
        <v>1</v>
      </c>
    </row>
    <row r="4" spans="1:2" ht="11.25" customHeight="1">
      <c r="A4" t="s">
        <v>3525</v>
      </c>
      <c r="B4" t="b">
        <v>0</v>
      </c>
    </row>
    <row r="5" spans="1:2" ht="11.25" customHeight="1">
      <c r="A5" t="s">
        <v>3526</v>
      </c>
      <c r="B5" t="b">
        <v>0</v>
      </c>
    </row>
    <row r="6" spans="1:2" ht="11.25" customHeight="1">
      <c r="A6" t="s">
        <v>3527</v>
      </c>
      <c r="B6" t="b">
        <v>0</v>
      </c>
    </row>
    <row r="7" spans="1:2" ht="11.25" customHeight="1">
      <c r="A7" t="s">
        <v>3528</v>
      </c>
      <c r="B7" t="b">
        <v>0</v>
      </c>
    </row>
    <row r="8" spans="1:2" ht="11.25" customHeight="1">
      <c r="A8" t="s">
        <v>3529</v>
      </c>
      <c r="B8" t="b">
        <v>0</v>
      </c>
    </row>
    <row r="9" spans="1:2" ht="11.25" customHeight="1">
      <c r="A9" t="s">
        <v>3530</v>
      </c>
      <c r="B9" t="b">
        <v>0</v>
      </c>
    </row>
    <row r="10" spans="1:2" ht="11.25" customHeight="1">
      <c r="A10" t="s">
        <v>3531</v>
      </c>
      <c r="B10" t="b">
        <v>0</v>
      </c>
    </row>
    <row r="11" spans="1:2" ht="11.25" customHeight="1">
      <c r="A11" t="s">
        <v>3532</v>
      </c>
      <c r="B11" t="b">
        <v>1</v>
      </c>
    </row>
    <row r="12" spans="1:2" ht="11.25" customHeight="1">
      <c r="A12" t="s">
        <v>3533</v>
      </c>
      <c r="B12" t="b">
        <v>0</v>
      </c>
    </row>
    <row r="13" spans="1:2" ht="11.25" customHeight="1">
      <c r="A13" t="s">
        <v>3534</v>
      </c>
      <c r="B13" t="b">
        <v>0</v>
      </c>
    </row>
    <row r="14" spans="1:2" ht="11.25" customHeight="1">
      <c r="A14" t="s">
        <v>3535</v>
      </c>
      <c r="B14" t="b">
        <v>0</v>
      </c>
    </row>
    <row r="15" spans="1:2" ht="11.25" customHeight="1">
      <c r="A15" t="s">
        <v>3536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8286D-31F7-30B7-95BB-7B58B13F211E}">
  <sheetPr>
    <tabColor rgb="FFFFCC99"/>
  </sheetPr>
  <dimension ref="A1"/>
  <sheetViews>
    <sheetView showGridLines="0" workbookViewId="0"/>
  </sheetViews>
  <sheetFormatPr defaultColWidth="9.140625" defaultRowHeight="12.75" customHeight="1"/>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7039-77EE-ACA1-1C96-E77017E1B00A}">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949" t="s">
        <v>3537</v>
      </c>
      <c r="B1" s="949" t="s">
        <v>3538</v>
      </c>
    </row>
    <row r="2" spans="1:2" ht="11.25" customHeight="1">
      <c r="A2" s="97" t="s">
        <v>3539</v>
      </c>
      <c r="B2" s="97" t="s">
        <v>3540</v>
      </c>
    </row>
    <row r="3" spans="1:2" ht="11.25" customHeight="1">
      <c r="A3" s="97" t="s">
        <v>3541</v>
      </c>
      <c r="B3" s="97" t="s">
        <v>3542</v>
      </c>
    </row>
    <row r="4" spans="1:2" ht="11.25" customHeight="1">
      <c r="A4" s="97" t="s">
        <v>3543</v>
      </c>
      <c r="B4" s="97" t="s">
        <v>3544</v>
      </c>
    </row>
    <row r="5" spans="1:2" ht="11.25" customHeight="1">
      <c r="A5" s="97" t="s">
        <v>3545</v>
      </c>
      <c r="B5" s="97" t="s">
        <v>3546</v>
      </c>
    </row>
    <row r="6" spans="1:2" ht="11.25" customHeight="1">
      <c r="A6" s="97" t="s">
        <v>3547</v>
      </c>
      <c r="B6" s="97" t="s">
        <v>3548</v>
      </c>
    </row>
    <row r="7" spans="1:2" ht="11.25" customHeight="1">
      <c r="A7" s="97" t="s">
        <v>3549</v>
      </c>
      <c r="B7" s="97" t="s">
        <v>3550</v>
      </c>
    </row>
    <row r="8" spans="1:2" ht="11.25" customHeight="1">
      <c r="A8" s="97" t="s">
        <v>3551</v>
      </c>
      <c r="B8" s="97" t="s">
        <v>3552</v>
      </c>
    </row>
    <row r="9" spans="1:2" ht="11.25" customHeight="1">
      <c r="A9" s="97" t="s">
        <v>3553</v>
      </c>
      <c r="B9" s="97" t="s">
        <v>3554</v>
      </c>
    </row>
    <row r="10" spans="1:2" ht="11.25" customHeight="1">
      <c r="A10" s="97" t="s">
        <v>3555</v>
      </c>
      <c r="B10" s="97" t="s">
        <v>3556</v>
      </c>
    </row>
    <row r="11" spans="1:2" ht="11.25" customHeight="1">
      <c r="A11" s="97" t="s">
        <v>3557</v>
      </c>
      <c r="B11" s="97" t="s">
        <v>3558</v>
      </c>
    </row>
    <row r="12" spans="1:2" ht="11.25" customHeight="1">
      <c r="A12" s="97" t="s">
        <v>3559</v>
      </c>
      <c r="B12" s="97" t="s">
        <v>3560</v>
      </c>
    </row>
    <row r="13" spans="1:2" ht="11.25" customHeight="1">
      <c r="A13" s="97" t="s">
        <v>3561</v>
      </c>
      <c r="B13" s="97" t="s">
        <v>3562</v>
      </c>
    </row>
    <row r="14" spans="1:2" ht="11.25" customHeight="1">
      <c r="A14" s="97" t="s">
        <v>3563</v>
      </c>
      <c r="B14" s="97" t="s">
        <v>3564</v>
      </c>
    </row>
    <row r="15" spans="1:2" ht="11.25" customHeight="1">
      <c r="A15" s="97" t="s">
        <v>3565</v>
      </c>
      <c r="B15" s="97" t="s">
        <v>3566</v>
      </c>
    </row>
    <row r="16" spans="1:2" ht="11.25" customHeight="1">
      <c r="A16" s="97" t="s">
        <v>3567</v>
      </c>
      <c r="B16" s="97" t="s">
        <v>3568</v>
      </c>
    </row>
    <row r="17" spans="1:2" ht="11.25" customHeight="1">
      <c r="A17" s="97" t="s">
        <v>3569</v>
      </c>
      <c r="B17" s="97" t="s">
        <v>3570</v>
      </c>
    </row>
    <row r="18" spans="1:2" ht="11.25" customHeight="1">
      <c r="A18" s="97" t="s">
        <v>3571</v>
      </c>
      <c r="B18" s="97" t="s">
        <v>3572</v>
      </c>
    </row>
    <row r="19" spans="1:2" ht="11.25" customHeight="1">
      <c r="A19" s="97" t="s">
        <v>3573</v>
      </c>
      <c r="B19" s="97" t="s">
        <v>3574</v>
      </c>
    </row>
    <row r="20" spans="1:2" ht="11.25" customHeight="1">
      <c r="A20" s="97" t="s">
        <v>3575</v>
      </c>
      <c r="B20" s="97" t="s">
        <v>3576</v>
      </c>
    </row>
    <row r="21" spans="1:2" ht="11.25" customHeight="1">
      <c r="A21" s="97" t="s">
        <v>3577</v>
      </c>
      <c r="B21" s="97" t="s">
        <v>3578</v>
      </c>
    </row>
    <row r="22" spans="1:2" ht="11.25" customHeight="1">
      <c r="A22" s="97" t="s">
        <v>3579</v>
      </c>
      <c r="B22" s="97" t="s">
        <v>3580</v>
      </c>
    </row>
    <row r="23" spans="1:2" ht="11.25" customHeight="1">
      <c r="A23" s="97" t="s">
        <v>3581</v>
      </c>
      <c r="B23" s="97" t="s">
        <v>3582</v>
      </c>
    </row>
    <row r="24" spans="1:2" ht="11.25" customHeight="1">
      <c r="A24" s="97" t="s">
        <v>3583</v>
      </c>
      <c r="B24" s="97" t="s">
        <v>3584</v>
      </c>
    </row>
    <row r="25" spans="1:2" ht="11.25" customHeight="1">
      <c r="A25" s="97" t="s">
        <v>3585</v>
      </c>
      <c r="B25" s="97" t="s">
        <v>3586</v>
      </c>
    </row>
    <row r="26" spans="1:2" ht="11.25" customHeight="1">
      <c r="A26" s="97" t="s">
        <v>3587</v>
      </c>
      <c r="B26" s="97" t="s">
        <v>3588</v>
      </c>
    </row>
    <row r="27" spans="1:2" ht="11.25" customHeight="1">
      <c r="A27" s="97" t="s">
        <v>3589</v>
      </c>
      <c r="B27" s="97" t="s">
        <v>3590</v>
      </c>
    </row>
    <row r="28" spans="1:2" ht="11.25" customHeight="1">
      <c r="A28" s="97" t="s">
        <v>3591</v>
      </c>
      <c r="B28" s="97" t="s">
        <v>3592</v>
      </c>
    </row>
    <row r="29" spans="1:2" ht="11.25" customHeight="1">
      <c r="A29" s="97" t="s">
        <v>3593</v>
      </c>
      <c r="B29" s="97" t="s">
        <v>3594</v>
      </c>
    </row>
    <row r="30" spans="1:2" ht="11.25" customHeight="1">
      <c r="A30" s="97" t="s">
        <v>3595</v>
      </c>
      <c r="B30" s="97" t="s">
        <v>3596</v>
      </c>
    </row>
    <row r="31" spans="1:2" ht="11.25" customHeight="1">
      <c r="A31" s="97" t="s">
        <v>3597</v>
      </c>
      <c r="B31" s="97" t="s">
        <v>3598</v>
      </c>
    </row>
    <row r="32" spans="1:2" ht="11.25" customHeight="1">
      <c r="A32" s="97" t="s">
        <v>3599</v>
      </c>
      <c r="B32" s="97" t="s">
        <v>3600</v>
      </c>
    </row>
    <row r="33" spans="1:2" ht="11.25" customHeight="1">
      <c r="A33" s="97" t="s">
        <v>3601</v>
      </c>
      <c r="B33" s="97" t="s">
        <v>3602</v>
      </c>
    </row>
    <row r="34" spans="1:2" ht="11.25" customHeight="1">
      <c r="A34" s="97" t="s">
        <v>3603</v>
      </c>
      <c r="B34" s="97" t="s">
        <v>3604</v>
      </c>
    </row>
    <row r="35" spans="1:2" ht="11.25" customHeight="1">
      <c r="A35" s="97" t="s">
        <v>3605</v>
      </c>
      <c r="B35" s="97" t="s">
        <v>3606</v>
      </c>
    </row>
    <row r="36" spans="1:2" ht="11.25" customHeight="1">
      <c r="A36" s="97" t="s">
        <v>3607</v>
      </c>
      <c r="B36" s="97" t="s">
        <v>3608</v>
      </c>
    </row>
    <row r="37" spans="1:2" ht="11.25" customHeight="1">
      <c r="A37" s="97" t="s">
        <v>3609</v>
      </c>
      <c r="B37" s="97" t="s">
        <v>3610</v>
      </c>
    </row>
    <row r="38" spans="1:2" ht="11.25" customHeight="1">
      <c r="A38" s="97" t="s">
        <v>3611</v>
      </c>
      <c r="B38" s="97" t="s">
        <v>3612</v>
      </c>
    </row>
    <row r="39" spans="1:2" ht="11.25" customHeight="1">
      <c r="A39" s="97" t="s">
        <v>3613</v>
      </c>
      <c r="B39" s="97" t="s">
        <v>3614</v>
      </c>
    </row>
    <row r="40" spans="1:2" ht="11.25" customHeight="1">
      <c r="A40" s="97" t="s">
        <v>3615</v>
      </c>
      <c r="B40" s="97" t="s">
        <v>3616</v>
      </c>
    </row>
    <row r="41" spans="1:2" ht="11.25" customHeight="1">
      <c r="A41" s="97" t="s">
        <v>3617</v>
      </c>
      <c r="B41" s="97" t="s">
        <v>3618</v>
      </c>
    </row>
    <row r="42" spans="1:2" ht="11.25" customHeight="1">
      <c r="A42" s="97" t="s">
        <v>3619</v>
      </c>
      <c r="B42" s="97" t="s">
        <v>3620</v>
      </c>
    </row>
    <row r="43" spans="1:2" ht="11.25" customHeight="1">
      <c r="A43" s="97" t="s">
        <v>3621</v>
      </c>
      <c r="B43" s="97" t="s">
        <v>3622</v>
      </c>
    </row>
    <row r="44" spans="1:2" ht="11.25" customHeight="1">
      <c r="A44" s="97" t="s">
        <v>3623</v>
      </c>
      <c r="B44" s="97" t="s">
        <v>3624</v>
      </c>
    </row>
    <row r="45" spans="1:2" ht="11.25" customHeight="1">
      <c r="A45" s="97" t="s">
        <v>3625</v>
      </c>
      <c r="B45" s="97" t="s">
        <v>3626</v>
      </c>
    </row>
    <row r="46" spans="1:2" ht="11.25" customHeight="1">
      <c r="A46" s="97" t="s">
        <v>3627</v>
      </c>
      <c r="B46" s="97" t="s">
        <v>3628</v>
      </c>
    </row>
    <row r="47" spans="1:2" ht="11.25" customHeight="1">
      <c r="A47" s="97" t="s">
        <v>3629</v>
      </c>
      <c r="B47" s="97" t="s">
        <v>3630</v>
      </c>
    </row>
    <row r="48" spans="1:2" ht="11.25" customHeight="1">
      <c r="A48" s="97" t="s">
        <v>3631</v>
      </c>
      <c r="B48" s="97" t="s">
        <v>3632</v>
      </c>
    </row>
    <row r="49" spans="1:2" ht="11.25" customHeight="1">
      <c r="A49" s="97" t="s">
        <v>3633</v>
      </c>
      <c r="B49" s="97" t="s">
        <v>3634</v>
      </c>
    </row>
    <row r="50" spans="1:2" ht="11.25" customHeight="1">
      <c r="A50" s="97" t="s">
        <v>3635</v>
      </c>
      <c r="B50" s="97" t="s">
        <v>3636</v>
      </c>
    </row>
    <row r="51" spans="1:2" ht="11.25" customHeight="1">
      <c r="A51" s="97" t="s">
        <v>3637</v>
      </c>
      <c r="B51" s="97" t="s">
        <v>3638</v>
      </c>
    </row>
    <row r="52" spans="1:2" ht="11.25" customHeight="1">
      <c r="A52" s="97" t="s">
        <v>3639</v>
      </c>
      <c r="B52" s="97" t="s">
        <v>3640</v>
      </c>
    </row>
    <row r="53" spans="1:2" ht="11.25" customHeight="1">
      <c r="A53" s="97" t="s">
        <v>3641</v>
      </c>
      <c r="B53" s="97" t="s">
        <v>3642</v>
      </c>
    </row>
    <row r="54" spans="1:2" ht="11.25" customHeight="1">
      <c r="A54" s="97" t="s">
        <v>3643</v>
      </c>
      <c r="B54" s="97" t="s">
        <v>3644</v>
      </c>
    </row>
    <row r="55" spans="1:2" ht="11.25" customHeight="1">
      <c r="A55" s="97" t="s">
        <v>3645</v>
      </c>
      <c r="B55" s="97" t="s">
        <v>3646</v>
      </c>
    </row>
    <row r="56" spans="1:2" ht="11.25" customHeight="1">
      <c r="A56" s="97" t="s">
        <v>3647</v>
      </c>
      <c r="B56" s="97" t="s">
        <v>3648</v>
      </c>
    </row>
    <row r="57" spans="1:2" ht="11.25" customHeight="1">
      <c r="A57" s="97" t="s">
        <v>3649</v>
      </c>
      <c r="B57" s="97" t="s">
        <v>3650</v>
      </c>
    </row>
    <row r="58" spans="1:2" ht="11.25" customHeight="1">
      <c r="A58" s="97" t="s">
        <v>3651</v>
      </c>
      <c r="B58" s="97" t="s">
        <v>3652</v>
      </c>
    </row>
    <row r="59" spans="1:2" ht="11.25" customHeight="1">
      <c r="A59" s="97" t="s">
        <v>3653</v>
      </c>
      <c r="B59" s="97" t="s">
        <v>3654</v>
      </c>
    </row>
    <row r="60" spans="1:2" ht="11.25" customHeight="1">
      <c r="A60" s="97" t="s">
        <v>3655</v>
      </c>
      <c r="B60" s="97" t="s">
        <v>3656</v>
      </c>
    </row>
    <row r="61" spans="1:2" ht="11.25" customHeight="1">
      <c r="B61" s="97" t="s">
        <v>3657</v>
      </c>
    </row>
    <row r="62" spans="1:2" ht="11.25" customHeight="1">
      <c r="B62" s="97" t="s">
        <v>3658</v>
      </c>
    </row>
    <row r="63" spans="1:2" ht="11.25" customHeight="1">
      <c r="B63" s="97" t="s">
        <v>3659</v>
      </c>
    </row>
    <row r="64" spans="1:2" ht="11.25" customHeight="1">
      <c r="B64" s="97" t="s">
        <v>3660</v>
      </c>
    </row>
    <row r="65" spans="2:2" ht="11.25" customHeight="1">
      <c r="B65" s="97" t="s">
        <v>3661</v>
      </c>
    </row>
    <row r="66" spans="2:2" ht="11.25" customHeight="1">
      <c r="B66" s="97" t="s">
        <v>3662</v>
      </c>
    </row>
    <row r="67" spans="2:2" ht="11.25" customHeight="1">
      <c r="B67" s="97" t="s">
        <v>3663</v>
      </c>
    </row>
    <row r="68" spans="2:2" ht="11.25" customHeight="1">
      <c r="B68" s="97" t="s">
        <v>3664</v>
      </c>
    </row>
    <row r="69" spans="2:2" ht="11.25" customHeight="1">
      <c r="B69" s="97" t="s">
        <v>3665</v>
      </c>
    </row>
    <row r="70" spans="2:2" ht="11.25" customHeight="1">
      <c r="B70" s="97" t="s">
        <v>3666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39FE-74FE-4DB6-0165-5C1F1DDD15F7}">
  <sheetPr>
    <tabColor rgb="FFFFCC99"/>
  </sheetPr>
  <dimension ref="A1:B36"/>
  <sheetViews>
    <sheetView showGridLines="0" workbookViewId="0"/>
  </sheetViews>
  <sheetFormatPr defaultColWidth="9.140625" defaultRowHeight="11.25" customHeight="1"/>
  <cols>
    <col min="1" max="1" width="3.7109375" customWidth="1"/>
    <col min="2" max="2" width="90.7109375" customWidth="1"/>
  </cols>
  <sheetData>
    <row r="1" spans="2:2" ht="11.25" customHeight="1">
      <c r="B1" s="950" t="s">
        <v>3667</v>
      </c>
    </row>
    <row r="2" spans="2:2" ht="90" customHeight="1">
      <c r="B2" s="951" t="s">
        <v>3668</v>
      </c>
    </row>
    <row r="3" spans="2:2" ht="67.5" customHeight="1">
      <c r="B3" s="951" t="s">
        <v>3669</v>
      </c>
    </row>
    <row r="4" spans="2:2" ht="33.75" customHeight="1">
      <c r="B4" s="951" t="s">
        <v>3670</v>
      </c>
    </row>
    <row r="5" spans="2:2" ht="11.25" customHeight="1">
      <c r="B5" s="951" t="s">
        <v>3671</v>
      </c>
    </row>
    <row r="6" spans="2:2" ht="22.5" customHeight="1">
      <c r="B6" s="951" t="s">
        <v>3672</v>
      </c>
    </row>
    <row r="7" spans="2:2" ht="22.5" customHeight="1">
      <c r="B7" s="951" t="s">
        <v>3673</v>
      </c>
    </row>
    <row r="8" spans="2:2" ht="22.5" customHeight="1">
      <c r="B8" s="951" t="s">
        <v>3674</v>
      </c>
    </row>
    <row r="9" spans="2:2" ht="22.5" customHeight="1">
      <c r="B9" s="951" t="s">
        <v>3675</v>
      </c>
    </row>
    <row r="10" spans="2:2" ht="56.25" customHeight="1">
      <c r="B10" s="951" t="s">
        <v>3676</v>
      </c>
    </row>
    <row r="11" spans="2:2" ht="12.75" customHeight="1">
      <c r="B11" s="952" t="s">
        <v>3677</v>
      </c>
    </row>
    <row r="12" spans="2:2" ht="11.25" customHeight="1">
      <c r="B12" s="950" t="s">
        <v>3678</v>
      </c>
    </row>
    <row r="13" spans="2:2" ht="22.5" customHeight="1">
      <c r="B13" s="951" t="s">
        <v>3679</v>
      </c>
    </row>
    <row r="14" spans="2:2" ht="67.5" customHeight="1">
      <c r="B14" s="951" t="s">
        <v>3680</v>
      </c>
    </row>
    <row r="15" spans="2:2" ht="22.5" customHeight="1">
      <c r="B15" s="951" t="s">
        <v>3681</v>
      </c>
    </row>
    <row r="16" spans="2:2" ht="11.25" customHeight="1">
      <c r="B16" s="950" t="s">
        <v>3682</v>
      </c>
    </row>
    <row r="17" spans="2:2" ht="33.75" customHeight="1">
      <c r="B17" s="951" t="s">
        <v>3683</v>
      </c>
    </row>
    <row r="18" spans="2:2" ht="33.75" customHeight="1">
      <c r="B18" s="951" t="s">
        <v>3684</v>
      </c>
    </row>
    <row r="19" spans="2:2" ht="11.25" customHeight="1">
      <c r="B19" s="951" t="s">
        <v>3685</v>
      </c>
    </row>
    <row r="20" spans="2:2" ht="33.75" customHeight="1">
      <c r="B20" s="951" t="s">
        <v>3686</v>
      </c>
    </row>
    <row r="21" spans="2:2" ht="11.25" customHeight="1">
      <c r="B21" s="950" t="s">
        <v>3687</v>
      </c>
    </row>
    <row r="22" spans="2:2" ht="11.25" customHeight="1">
      <c r="B22" s="951" t="s">
        <v>3688</v>
      </c>
    </row>
    <row r="24" spans="2:2" ht="22.5" customHeight="1">
      <c r="B24" s="953" t="s">
        <v>3689</v>
      </c>
    </row>
    <row r="26" spans="2:2" ht="11.25" customHeight="1">
      <c r="B26" s="950" t="s">
        <v>3690</v>
      </c>
    </row>
    <row r="27" spans="2:2" ht="22.5" customHeight="1">
      <c r="B27" s="257" t="s">
        <v>397</v>
      </c>
    </row>
    <row r="28" spans="2:2" ht="56.25" customHeight="1">
      <c r="B28" s="257" t="s">
        <v>3691</v>
      </c>
    </row>
    <row r="29" spans="2:2" ht="11.25" customHeight="1">
      <c r="B29" s="954" t="s">
        <v>3692</v>
      </c>
    </row>
    <row r="30" spans="2:2" ht="22.5" customHeight="1">
      <c r="B30" s="257" t="s">
        <v>3693</v>
      </c>
    </row>
    <row r="32" spans="2:2" ht="11.25" customHeight="1">
      <c r="B32" s="955" t="s">
        <v>3694</v>
      </c>
    </row>
    <row r="33" spans="1:2" ht="14.25" customHeight="1">
      <c r="A33" s="956">
        <v>1</v>
      </c>
      <c r="B33" s="957" t="s">
        <v>3695</v>
      </c>
    </row>
    <row r="34" spans="1:2" ht="14.25" customHeight="1">
      <c r="A34" s="956">
        <v>2</v>
      </c>
      <c r="B34" s="957" t="s">
        <v>3696</v>
      </c>
    </row>
    <row r="35" spans="1:2" ht="11.25" customHeight="1">
      <c r="B35" s="955" t="s">
        <v>3697</v>
      </c>
    </row>
    <row r="36" spans="1:2" ht="11.25" customHeight="1">
      <c r="B36" s="957" t="s">
        <v>3698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2025-07-02T12:38:52Z</cp:lastPrinted>
  <dcterms:created xsi:type="dcterms:W3CDTF">2004-05-21T07:18:45Z</dcterms:created>
  <dcterms:modified xsi:type="dcterms:W3CDTF">2025-07-02T12:39:01Z</dcterms:modified>
</cp:coreProperties>
</file>